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39" firstSheet="19" activeTab="28"/>
  </bookViews>
  <sheets>
    <sheet name="Кирова 19а" sheetId="52" r:id="rId1"/>
    <sheet name="Строительная 28а" sheetId="54" r:id="rId2"/>
    <sheet name="М.Горького 3б" sheetId="37" r:id="rId3"/>
    <sheet name="М.Горького 4а" sheetId="35" r:id="rId4"/>
    <sheet name="Лесная 3а" sheetId="33" r:id="rId5"/>
    <sheet name="Пионерская 24а" sheetId="32" r:id="rId6"/>
    <sheet name="Пионерская 20" sheetId="50" r:id="rId7"/>
    <sheet name="Пионерская 18" sheetId="47" r:id="rId8"/>
    <sheet name="Пионерская 16" sheetId="51" r:id="rId9"/>
    <sheet name="Пионерская 14" sheetId="34" r:id="rId10"/>
    <sheet name="Пионерская 6" sheetId="43" r:id="rId11"/>
    <sheet name="Пионерская 4 " sheetId="53" r:id="rId12"/>
    <sheet name="Пионерская 2а" sheetId="42" r:id="rId13"/>
    <sheet name="Гагарина 5а" sheetId="30" r:id="rId14"/>
    <sheet name="Гагарина 3" sheetId="57" r:id="rId15"/>
    <sheet name="Гагарина 2а" sheetId="44" r:id="rId16"/>
    <sheet name="Гагарина 1" sheetId="41" r:id="rId17"/>
    <sheet name="вокзальная 17а" sheetId="46" r:id="rId18"/>
    <sheet name="вокзальная 11" sheetId="23" r:id="rId19"/>
    <sheet name="вокзальная 9б" sheetId="58" r:id="rId20"/>
    <sheet name="вокзальная 9а" sheetId="28" r:id="rId21"/>
    <sheet name="Пушкина 30а" sheetId="39" r:id="rId22"/>
    <sheet name="Пушкина 11а" sheetId="31" r:id="rId23"/>
    <sheet name="Пушкина 7а" sheetId="24" r:id="rId24"/>
    <sheet name="Пушкина 6а" sheetId="25" r:id="rId25"/>
    <sheet name="Пушкина 5а" sheetId="27" r:id="rId26"/>
    <sheet name="Пушкина 4а" sheetId="22" r:id="rId27"/>
    <sheet name="Пушкина 3а" sheetId="29" r:id="rId28"/>
    <sheet name="Пушкина 2а" sheetId="26" r:id="rId29"/>
    <sheet name="сводный отчет" sheetId="55" r:id="rId30"/>
  </sheets>
  <calcPr calcId="125725"/>
</workbook>
</file>

<file path=xl/calcChain.xml><?xml version="1.0" encoding="utf-8"?>
<calcChain xmlns="http://schemas.openxmlformats.org/spreadsheetml/2006/main">
  <c r="B29" i="26"/>
  <c r="B17"/>
  <c r="B18"/>
  <c r="B28"/>
  <c r="B13" i="58"/>
  <c r="B26"/>
  <c r="C16" i="46"/>
  <c r="B13" i="25"/>
  <c r="B17"/>
  <c r="B16"/>
  <c r="B19" i="44"/>
  <c r="C19" i="46"/>
  <c r="C17"/>
  <c r="C15"/>
  <c r="B17" i="58"/>
  <c r="B15"/>
  <c r="B26" i="31"/>
  <c r="B18"/>
  <c r="B19"/>
  <c r="B27" i="27"/>
  <c r="B14"/>
  <c r="B26"/>
  <c r="B18"/>
  <c r="B17"/>
  <c r="B16"/>
  <c r="B19"/>
  <c r="B15" i="24"/>
  <c r="B16"/>
  <c r="B17"/>
  <c r="B18"/>
  <c r="B27" i="39"/>
  <c r="B26"/>
  <c r="B21"/>
  <c r="B18"/>
  <c r="B19"/>
  <c r="B15" i="33"/>
  <c r="B28"/>
  <c r="B21"/>
  <c r="B19"/>
  <c r="B13" i="34"/>
  <c r="B26" s="1"/>
  <c r="B25"/>
  <c r="B20"/>
  <c r="B18"/>
  <c r="B17"/>
  <c r="B15"/>
  <c r="B22"/>
  <c r="B24" i="37"/>
  <c r="B23"/>
  <c r="B20" l="1"/>
  <c r="B14"/>
  <c r="B16" i="54"/>
  <c r="B21" i="47"/>
  <c r="B19"/>
  <c r="B16"/>
  <c r="B14"/>
  <c r="B22" i="51"/>
  <c r="B20"/>
  <c r="B13"/>
  <c r="B15"/>
  <c r="B16" i="50"/>
  <c r="B13" i="57"/>
  <c r="B19"/>
  <c r="B21"/>
  <c r="B13" i="29"/>
  <c r="B25"/>
  <c r="B18"/>
  <c r="B16"/>
  <c r="B15"/>
  <c r="B13" i="22"/>
  <c r="B20"/>
  <c r="B25"/>
  <c r="C20" i="32"/>
  <c r="C15"/>
  <c r="C17"/>
  <c r="B24" i="28"/>
  <c r="C19" i="52"/>
  <c r="C13"/>
  <c r="C17"/>
  <c r="B16" i="30"/>
  <c r="B13" i="35"/>
  <c r="B16"/>
  <c r="B17" i="47"/>
  <c r="B17" i="42"/>
  <c r="B25" i="23"/>
  <c r="B15" i="22"/>
  <c r="B15" i="25"/>
  <c r="B16" i="31"/>
  <c r="B16" i="39"/>
  <c r="B15" i="28"/>
  <c r="B15" i="23"/>
  <c r="C15" i="41"/>
  <c r="B13" i="44"/>
  <c r="B15" i="57"/>
  <c r="B15" i="30"/>
  <c r="B14" i="42"/>
  <c r="B14" i="53"/>
  <c r="C15" i="43"/>
  <c r="B17" i="33"/>
  <c r="B15" i="35"/>
  <c r="B13" i="26"/>
  <c r="B12" i="27"/>
  <c r="B11" i="29"/>
  <c r="C10" i="41"/>
  <c r="C10" i="46"/>
  <c r="B9" i="42"/>
  <c r="B9" i="53"/>
  <c r="C10" i="43"/>
  <c r="B11" i="50"/>
  <c r="B12" i="33"/>
  <c r="B10" i="35"/>
  <c r="B11" i="54"/>
  <c r="B12"/>
  <c r="B26" i="29" l="1"/>
  <c r="C11" i="52"/>
  <c r="B21" i="31"/>
  <c r="B20" i="24"/>
  <c r="B20" i="25"/>
  <c r="B20" i="29"/>
  <c r="B22" i="26"/>
  <c r="B21" i="27" l="1"/>
  <c r="B15" i="44" l="1"/>
  <c r="B16" i="22"/>
  <c r="B17" i="31"/>
  <c r="B17" i="39"/>
  <c r="B17" i="28"/>
  <c r="B16" i="23"/>
  <c r="C17" i="41"/>
  <c r="B16" i="57"/>
  <c r="B17" i="30"/>
  <c r="B16" i="42"/>
  <c r="B16" i="53"/>
  <c r="C17" i="43"/>
  <c r="B17" i="51"/>
  <c r="B18" i="50"/>
  <c r="B18" i="33"/>
  <c r="B17" i="35"/>
  <c r="B19" i="54"/>
  <c r="C14" i="52"/>
  <c r="B16" i="37"/>
  <c r="B10" i="28"/>
  <c r="B11"/>
  <c r="B10" i="23"/>
  <c r="B8" i="44"/>
  <c r="B11" i="57"/>
  <c r="B9" i="47"/>
  <c r="B10" i="37"/>
  <c r="B12" i="39"/>
  <c r="C9" i="52"/>
  <c r="C20" s="1"/>
  <c r="C11" i="41"/>
  <c r="C19"/>
  <c r="C21"/>
  <c r="B17" i="44"/>
  <c r="B9"/>
  <c r="D4" i="55" l="1"/>
  <c r="D7"/>
  <c r="C26" i="41"/>
  <c r="D8" i="55"/>
  <c r="B22" i="44"/>
  <c r="B30" i="41" l="1"/>
  <c r="B31" s="1"/>
  <c r="E7" i="55"/>
  <c r="F7" s="1"/>
  <c r="E8"/>
  <c r="F8" s="1"/>
  <c r="E29"/>
  <c r="B21" i="30" l="1"/>
  <c r="B13" s="1"/>
  <c r="B19"/>
  <c r="C20" i="43"/>
  <c r="D23" i="55"/>
  <c r="B21" i="54"/>
  <c r="B21" i="23" l="1"/>
  <c r="B13" s="1"/>
  <c r="B9" i="37" l="1"/>
  <c r="B23" i="33" l="1"/>
  <c r="E14" i="55" l="1"/>
  <c r="B11" i="58" l="1"/>
  <c r="B27" s="1"/>
  <c r="C23" i="32" l="1"/>
  <c r="D10" i="55"/>
  <c r="B25" i="57" l="1"/>
  <c r="D30" i="55"/>
  <c r="B11" i="24"/>
  <c r="D28" i="55" s="1"/>
  <c r="D26"/>
  <c r="D24"/>
  <c r="B11" i="22"/>
  <c r="D25" i="55" s="1"/>
  <c r="B21" i="50"/>
  <c r="B18" i="53"/>
  <c r="B10"/>
  <c r="B19" i="42"/>
  <c r="B10"/>
  <c r="C11" i="43"/>
  <c r="B11" i="34"/>
  <c r="D17" i="55" s="1"/>
  <c r="B11" i="51"/>
  <c r="B10" i="47"/>
  <c r="B12" i="50"/>
  <c r="C11" i="32"/>
  <c r="D21" i="55" s="1"/>
  <c r="B19" i="23"/>
  <c r="B11"/>
  <c r="B11" i="35"/>
  <c r="D31" i="55"/>
  <c r="C26" i="54"/>
  <c r="C21"/>
  <c r="C20"/>
  <c r="C19"/>
  <c r="C18"/>
  <c r="C16"/>
  <c r="E12" i="55"/>
  <c r="D5" l="1"/>
  <c r="B26" i="23"/>
  <c r="D22" i="55"/>
  <c r="D15"/>
  <c r="D16"/>
  <c r="D18"/>
  <c r="D19"/>
  <c r="D20"/>
  <c r="B27" i="50"/>
  <c r="D11" i="55"/>
  <c r="E5"/>
  <c r="F5" s="1"/>
  <c r="B26" i="51"/>
  <c r="D13" i="55"/>
  <c r="B12" i="31"/>
  <c r="B11" i="25"/>
  <c r="D27" i="55" s="1"/>
  <c r="B13" i="33"/>
  <c r="B11" i="30"/>
  <c r="C11" i="46"/>
  <c r="D6" i="55" s="1"/>
  <c r="D29" l="1"/>
  <c r="F29" s="1"/>
  <c r="B27" i="31"/>
  <c r="D9" i="55"/>
  <c r="B26" i="30"/>
  <c r="D14" i="55"/>
  <c r="F14" s="1"/>
  <c r="B29" i="33"/>
  <c r="D12" i="55"/>
  <c r="F12" s="1"/>
  <c r="E18"/>
  <c r="F18" s="1"/>
  <c r="C21" i="46"/>
  <c r="C25" l="1"/>
  <c r="D32" i="55"/>
  <c r="E6" l="1"/>
  <c r="F6" s="1"/>
  <c r="C22" i="43"/>
  <c r="C13" s="1"/>
  <c r="C25" s="1"/>
  <c r="E16" i="55" l="1"/>
  <c r="F16" s="1"/>
  <c r="E24" l="1"/>
  <c r="F24" s="1"/>
  <c r="E23" l="1"/>
  <c r="F23" s="1"/>
  <c r="E26"/>
  <c r="F26" s="1"/>
  <c r="B23" i="24"/>
  <c r="E28" i="55" l="1"/>
  <c r="F28" s="1"/>
  <c r="B21" i="28"/>
  <c r="B13" s="1"/>
  <c r="B26" s="1"/>
  <c r="E4" i="55" l="1"/>
  <c r="E30" l="1"/>
  <c r="F30" s="1"/>
  <c r="F4"/>
  <c r="E9" l="1"/>
  <c r="B21" i="42"/>
  <c r="B25" l="1"/>
  <c r="F9" i="55"/>
  <c r="E22" l="1"/>
  <c r="F22" s="1"/>
  <c r="B20" i="53"/>
  <c r="B23" s="1"/>
  <c r="E15" i="55" l="1"/>
  <c r="F15" s="1"/>
  <c r="B23" i="50" l="1"/>
  <c r="C22" i="32"/>
  <c r="B24" i="47" l="1"/>
  <c r="C25" i="32"/>
  <c r="E17" i="55"/>
  <c r="F17" s="1"/>
  <c r="E19" l="1"/>
  <c r="F19" s="1"/>
  <c r="E21"/>
  <c r="F21" s="1"/>
  <c r="E20"/>
  <c r="F20" s="1"/>
  <c r="E13"/>
  <c r="F13" s="1"/>
  <c r="B21" i="35"/>
  <c r="B25" l="1"/>
  <c r="E11" i="55"/>
  <c r="F11" s="1"/>
  <c r="B23" i="54"/>
  <c r="B28" s="1"/>
  <c r="E31" i="55" l="1"/>
  <c r="F31" s="1"/>
  <c r="C23" i="54"/>
  <c r="C5" s="1"/>
  <c r="E10" i="55" l="1"/>
  <c r="B23" i="25"/>
  <c r="E27" i="55" l="1"/>
  <c r="F27" s="1"/>
  <c r="F10"/>
  <c r="B26" i="22"/>
  <c r="E25" i="55" l="1"/>
  <c r="F25" l="1"/>
  <c r="F32" s="1"/>
  <c r="E32"/>
</calcChain>
</file>

<file path=xl/sharedStrings.xml><?xml version="1.0" encoding="utf-8"?>
<sst xmlns="http://schemas.openxmlformats.org/spreadsheetml/2006/main" count="819" uniqueCount="123">
  <si>
    <t>накладные расходы</t>
  </si>
  <si>
    <t>аварийно-диспетчерское обслуживание</t>
  </si>
  <si>
    <t>вывоз ТБО и КГМ</t>
  </si>
  <si>
    <t>Площадь многоквартирного пятиэтажного жилого дома, кв.м</t>
  </si>
  <si>
    <t>Размер платы за текущее содержание  руб/ 1 м2  в месяц</t>
  </si>
  <si>
    <t>Начислено платежей за электроэнергию МОП</t>
  </si>
  <si>
    <t>в том числе:</t>
  </si>
  <si>
    <t>автотранспорт</t>
  </si>
  <si>
    <t>ФОТ и налоги на з/плату дворников и уборщиков</t>
  </si>
  <si>
    <t>отработано основными рабочими на доме, час</t>
  </si>
  <si>
    <t>ФОТ и налоги на з/плату</t>
  </si>
  <si>
    <t>Директор ООО "МУК"                                                Галузина Т.В.</t>
  </si>
  <si>
    <t>ФОТ и налоги на з/плату дворников (уборка контейнерных площадок)</t>
  </si>
  <si>
    <t>Площадь многоквартирного  жилого дома, кв.м</t>
  </si>
  <si>
    <t>содержание паспортиста</t>
  </si>
  <si>
    <t>№ дома</t>
  </si>
  <si>
    <t>9а</t>
  </si>
  <si>
    <t>11а</t>
  </si>
  <si>
    <t>17а</t>
  </si>
  <si>
    <t>Гагарина</t>
  </si>
  <si>
    <t>2а</t>
  </si>
  <si>
    <t>3а</t>
  </si>
  <si>
    <t>5а</t>
  </si>
  <si>
    <t>Горького</t>
  </si>
  <si>
    <t>3б</t>
  </si>
  <si>
    <t>4а</t>
  </si>
  <si>
    <t>24а</t>
  </si>
  <si>
    <t>Пушкина</t>
  </si>
  <si>
    <t>6а</t>
  </si>
  <si>
    <t>7а</t>
  </si>
  <si>
    <t>30а</t>
  </si>
  <si>
    <t xml:space="preserve">Строительная </t>
  </si>
  <si>
    <t>28а</t>
  </si>
  <si>
    <t>ИТОГО</t>
  </si>
  <si>
    <t>19а</t>
  </si>
  <si>
    <t xml:space="preserve">Начислено платежей за текущее содержание </t>
  </si>
  <si>
    <t>факт.затраты руб/м2/мес</t>
  </si>
  <si>
    <t>вывоз ЖБО</t>
  </si>
  <si>
    <t>ФОТ и налоги на з/плату дворника</t>
  </si>
  <si>
    <t xml:space="preserve">Собрано денежных средств </t>
  </si>
  <si>
    <t>Площадь многоквартирного жилого дома, кв.м</t>
  </si>
  <si>
    <t xml:space="preserve">ФОТ и налоги на з/плату дворников </t>
  </si>
  <si>
    <t>№ п/п</t>
  </si>
  <si>
    <t>Название улицы</t>
  </si>
  <si>
    <t xml:space="preserve">Вокзальная </t>
  </si>
  <si>
    <t xml:space="preserve">Кирова </t>
  </si>
  <si>
    <t>Лесная</t>
  </si>
  <si>
    <t>Пионерская</t>
  </si>
  <si>
    <t>Начислено платежей за  соцнайм</t>
  </si>
  <si>
    <t>ФОТ и налоги на з/плату дворников (уборка контейн.площадок)</t>
  </si>
  <si>
    <t>Площадь многоквартирного трехэтажного жилого дома, кв.м</t>
  </si>
  <si>
    <t>Начислено платежей за соцнайм</t>
  </si>
  <si>
    <t xml:space="preserve">накладные расходы </t>
  </si>
  <si>
    <t xml:space="preserve">Начислено платежей за текущее содержание  </t>
  </si>
  <si>
    <t>автотранспорт (сантехники, электрики)</t>
  </si>
  <si>
    <t>,</t>
  </si>
  <si>
    <t xml:space="preserve">Статьи доходов и расходов </t>
  </si>
  <si>
    <t>Статьи доходов и расходов</t>
  </si>
  <si>
    <t>тыс.руб.</t>
  </si>
  <si>
    <t>Статьи  доходов и расходов</t>
  </si>
  <si>
    <t>управление жилым домом</t>
  </si>
  <si>
    <t>финансовый результат за 2014</t>
  </si>
  <si>
    <t>Получено средствв 2014 г.</t>
  </si>
  <si>
    <t>выполнено работ в 2014 г</t>
  </si>
  <si>
    <t xml:space="preserve">Пионерская </t>
  </si>
  <si>
    <t>Финансовый результат по домам за 2014 год</t>
  </si>
  <si>
    <t>руб.</t>
  </si>
  <si>
    <t>Начислено платежей за текущее содержание</t>
  </si>
  <si>
    <t xml:space="preserve">Начислено платежей за электроэнергию МОП  </t>
  </si>
  <si>
    <t>Собрано денежных средств</t>
  </si>
  <si>
    <t>Задолженность на 01.01.2016 года</t>
  </si>
  <si>
    <t>Оплата за электроэнергию МОП</t>
  </si>
  <si>
    <t>Дефицит денежных средств по жилому дому № 3б по ул.М.Горького</t>
  </si>
  <si>
    <t xml:space="preserve">вывоз ЖБО </t>
  </si>
  <si>
    <t xml:space="preserve">ФОТ и налоги на з/плату дворников и уборщиков </t>
  </si>
  <si>
    <t>оплачено за соцнайм</t>
  </si>
  <si>
    <t>оплачено за электроэнергию МОП</t>
  </si>
  <si>
    <t>накладные расходы в т.ч. затраты по управлению домом</t>
  </si>
  <si>
    <t xml:space="preserve">Отчет ООО "МУК" по управлению и текущему содержанию МКД по адресу р.п.Мошково,  ул.Кирова 19а за  2016 год </t>
  </si>
  <si>
    <t>Отчет ООО "МУК" по текущему содержанию мест общего пользования МКД по адресу р.п.Мошково, ул. Строительная 28а за  2016  года</t>
  </si>
  <si>
    <t xml:space="preserve">Отчет ООО "МУК" по управлению и текущему содержанию МКД по адресу р.п.Мошково,                                      ул.Горького 3Б за  2016 год </t>
  </si>
  <si>
    <t xml:space="preserve">Отчет ООО "МУК" по управлению и текущему содержанию МКД по адресу р.п.Мошково,  ул.Горького 4А за  2016 год </t>
  </si>
  <si>
    <t xml:space="preserve">Отчет ООО "МУК" по управлению и текущему содержанию МКД по адресу р.п.Мошково, ул.Лесная 3А за  2016 год </t>
  </si>
  <si>
    <t xml:space="preserve">Отчет ООО "МУК" по управлению и текущему содержанию МКД по адресу р.п.Мошково, ул.Пионерская 24а за 2016 год </t>
  </si>
  <si>
    <t xml:space="preserve">Отчет ООО "МУК" по управлению и текущему содержанию МКД по адресу р.п.Мошково, ул.Пионерская 20 за  2016 год </t>
  </si>
  <si>
    <t xml:space="preserve">Отчет ООО "МУК" по управлению и текущему содержанию МКД по адресу р.п.Мошково, ул.Пионерская 18 за 2016 год </t>
  </si>
  <si>
    <t xml:space="preserve">Отчет ООО "МУК" по управлению и текущему содержанию МКД по адресу р.п.Мошково, ул.Пионерская 16 за  2016 год </t>
  </si>
  <si>
    <t xml:space="preserve">Отчет ООО "МУК" по управлению и текущему содержанию МКД по адресу р.п.Мошково, ул.Пионерская 14 за  2016 год </t>
  </si>
  <si>
    <t xml:space="preserve">Отчет ООО "МУК" по управлению и текущему содержанию МКД по адресу р.п.Мошково, ул.Пионерская 6 за  2016 год </t>
  </si>
  <si>
    <t xml:space="preserve">Отчет ООО "МУК" по управлению и текущему содержанию МКД по адресу р.п.Мошково, ул.Пионерская 4 за  2016 год </t>
  </si>
  <si>
    <t xml:space="preserve">Отчет ООО "МУК" по управлению и текущему содержанию МКД по адресу р.п.Мошково, ул.Пионерская 2а  за  2016 год </t>
  </si>
  <si>
    <t xml:space="preserve">Отчет ООО "МУК" по управлению и текущему содержанию МКД по адресу р.п.Мошково,  ул.Гагарина 5а за  2016 год </t>
  </si>
  <si>
    <t>Отчет ООО "МУК" по управлению и текущему содержанию МКД  № 3 а по адресу ул.Гагарина  за 2016 год</t>
  </si>
  <si>
    <t>Отчет ООО "МУК" по управлению и текущему содержанию МКД  № 2а а по адресу ул.Гагарина  за 2016 год</t>
  </si>
  <si>
    <t xml:space="preserve">Отчет ООО "МУК" по управлению и текущему содержанию МКД по адресу р.п.Мошково, ул.Гагарина 1  2016 год </t>
  </si>
  <si>
    <t xml:space="preserve">Отчет ООО "МУК" по управлению и текущему содержанию МКД по адресу р.п.Мошково,   ул.Вокзальная 17а  за  2016 год </t>
  </si>
  <si>
    <t>Отчет ООО "МУК" по управлению и текущему содержанию МКД по адресу р.п.Мошково, ул.Вокзальная 11а за  2016 год</t>
  </si>
  <si>
    <t>Отчет ООО "МУК" по управлению и текущему содержанию МКД по адресу р.п.Мошково, ул.Вокзальная 9б за 2016 год</t>
  </si>
  <si>
    <t>Отчет ООО "МУК" по управлению и текущему содержанию МКД по адресу р.п.Мошково, ул.Вокзальная 9а за 2016 год</t>
  </si>
  <si>
    <t>Отчет ООО "МУК" по управлению и текущему содержанию МКД  № 30 а по адресу ул.Пушкина за 2016 год</t>
  </si>
  <si>
    <t>Отчет ООО "МУК" по управлению и текущему содержанию МКД  № 11 а по адресу ул.Пушкина за 2016 год</t>
  </si>
  <si>
    <t>Отчет ООО "МУК" по управлению и текущему содержанию МКД  № 7 а по адресу ул.Пушкина  за 2016 год</t>
  </si>
  <si>
    <t>Отчет ООО "МУК" по управлению и текущему содержанию МКД  № 6 а по адресу ул.Пушкина за 2016 год</t>
  </si>
  <si>
    <t>Отчет ООО "МУК" по управлению и текущему содержанию МКД  № 5 а по адресу ул.Пушкина за 2016 год</t>
  </si>
  <si>
    <t>Отчет ООО "МУК" по управлению и текущему содержанию МКД  № 4 а по адресу ул.Пушкина  за 2016 год</t>
  </si>
  <si>
    <t>Отчет ООО "МУК" по управлению и текущему содержанию МКД  № 3 а по адресу ул.Пушкина  за 2016 год</t>
  </si>
  <si>
    <t>Отчет ООО "МУК" по управлению и текущему содержанию МКД  № 2 а по адресу ул.Пушкина за 2016 год</t>
  </si>
  <si>
    <t>Доходы по управлению и текущему содержанию за 2016 год</t>
  </si>
  <si>
    <t>Затраты по управлению и текущему содержанию за 2016 год</t>
  </si>
  <si>
    <t>Задолженность на 01.01.2017 года</t>
  </si>
  <si>
    <t>Задолженность населения  на 01.01.2016 года</t>
  </si>
  <si>
    <t>Задолженность населения на 01.01.2016 года</t>
  </si>
  <si>
    <t>Начислено платежей за кап.ремонт теплоснабжения</t>
  </si>
  <si>
    <t>Начислено платежей за поверку приборов учета теплоснабжения</t>
  </si>
  <si>
    <t>Начислено платежей за установку приборов учета электроэнергии</t>
  </si>
  <si>
    <t>израсходовано материалов в 2016 году</t>
  </si>
  <si>
    <t>оплачено за кап.ремонт теплоснабжения</t>
  </si>
  <si>
    <t>оплачено за поверку приборов учета теплоснабжения</t>
  </si>
  <si>
    <t>оплачено за установку приборов учета электроэнергии</t>
  </si>
  <si>
    <t>Экономия денежных средств по жилому дому на 01.01.2017 г.</t>
  </si>
  <si>
    <t>Дефицит денежных средств по жилому дому на 01.01.2017 г.</t>
  </si>
  <si>
    <t>Дефицит денежных средств по жилому дому на 01.09.2016 г.</t>
  </si>
  <si>
    <t>Задолженность на 01.09.2016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</si>
</sst>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 ;\-#,##0.00\ 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Times New Roman Cyr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0">
    <xf numFmtId="0" fontId="0" fillId="0" borderId="0" xfId="0"/>
    <xf numFmtId="0" fontId="3" fillId="0" borderId="4" xfId="0" applyFont="1" applyBorder="1"/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4" xfId="0" applyFont="1" applyBorder="1"/>
    <xf numFmtId="4" fontId="6" fillId="0" borderId="0" xfId="0" applyNumberFormat="1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9" fillId="0" borderId="0" xfId="1"/>
    <xf numFmtId="0" fontId="11" fillId="0" borderId="4" xfId="1" applyFont="1" applyBorder="1"/>
    <xf numFmtId="0" fontId="13" fillId="0" borderId="4" xfId="1" applyFont="1" applyBorder="1"/>
    <xf numFmtId="0" fontId="14" fillId="0" borderId="0" xfId="1" applyFont="1"/>
    <xf numFmtId="0" fontId="14" fillId="0" borderId="4" xfId="1" applyFont="1" applyBorder="1"/>
    <xf numFmtId="0" fontId="10" fillId="0" borderId="3" xfId="1" applyFont="1" applyBorder="1" applyAlignment="1">
      <alignment wrapText="1"/>
    </xf>
    <xf numFmtId="0" fontId="10" fillId="0" borderId="3" xfId="1" applyFont="1" applyBorder="1"/>
    <xf numFmtId="0" fontId="9" fillId="0" borderId="3" xfId="1" applyBorder="1"/>
    <xf numFmtId="0" fontId="11" fillId="0" borderId="0" xfId="1" applyFont="1"/>
    <xf numFmtId="0" fontId="13" fillId="0" borderId="4" xfId="1" applyFont="1" applyBorder="1" applyAlignment="1">
      <alignment wrapText="1"/>
    </xf>
    <xf numFmtId="0" fontId="11" fillId="0" borderId="4" xfId="1" applyFont="1" applyBorder="1" applyAlignment="1">
      <alignment wrapText="1"/>
    </xf>
    <xf numFmtId="2" fontId="0" fillId="0" borderId="0" xfId="0" applyNumberFormat="1"/>
    <xf numFmtId="0" fontId="9" fillId="0" borderId="0" xfId="1" applyFill="1" applyBorder="1"/>
    <xf numFmtId="0" fontId="13" fillId="0" borderId="3" xfId="1" applyFont="1" applyBorder="1"/>
    <xf numFmtId="0" fontId="11" fillId="0" borderId="3" xfId="1" applyFont="1" applyBorder="1"/>
    <xf numFmtId="0" fontId="15" fillId="0" borderId="0" xfId="1" applyFont="1"/>
    <xf numFmtId="0" fontId="14" fillId="0" borderId="0" xfId="1" applyFont="1" applyFill="1" applyBorder="1"/>
    <xf numFmtId="0" fontId="14" fillId="0" borderId="4" xfId="1" applyFont="1" applyBorder="1" applyAlignment="1">
      <alignment horizontal="left"/>
    </xf>
    <xf numFmtId="0" fontId="11" fillId="0" borderId="4" xfId="1" applyFont="1" applyBorder="1" applyAlignment="1">
      <alignment horizontal="center" vertical="center" wrapText="1"/>
    </xf>
    <xf numFmtId="2" fontId="11" fillId="0" borderId="0" xfId="1" applyNumberFormat="1" applyFont="1"/>
    <xf numFmtId="0" fontId="11" fillId="0" borderId="0" xfId="1" applyFont="1" applyAlignment="1">
      <alignment horizontal="center"/>
    </xf>
    <xf numFmtId="2" fontId="4" fillId="0" borderId="0" xfId="0" applyNumberFormat="1" applyFont="1"/>
    <xf numFmtId="0" fontId="12" fillId="0" borderId="0" xfId="1" applyFont="1"/>
    <xf numFmtId="0" fontId="1" fillId="0" borderId="0" xfId="0" applyFont="1"/>
    <xf numFmtId="0" fontId="9" fillId="0" borderId="0" xfId="1" applyAlignment="1">
      <alignment horizontal="center"/>
    </xf>
    <xf numFmtId="0" fontId="11" fillId="0" borderId="0" xfId="1" applyFont="1" applyBorder="1" applyAlignment="1">
      <alignment horizontal="left"/>
    </xf>
    <xf numFmtId="2" fontId="11" fillId="0" borderId="0" xfId="1" applyNumberFormat="1" applyFont="1" applyBorder="1"/>
    <xf numFmtId="0" fontId="16" fillId="0" borderId="0" xfId="0" applyFont="1"/>
    <xf numFmtId="0" fontId="18" fillId="0" borderId="0" xfId="0" applyFont="1"/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44" fontId="18" fillId="0" borderId="4" xfId="0" applyNumberFormat="1" applyFont="1" applyBorder="1" applyAlignment="1">
      <alignment horizontal="center" vertical="center" wrapText="1"/>
    </xf>
    <xf numFmtId="44" fontId="18" fillId="0" borderId="4" xfId="0" applyNumberFormat="1" applyFont="1" applyBorder="1"/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Fill="1" applyBorder="1"/>
    <xf numFmtId="0" fontId="18" fillId="0" borderId="4" xfId="0" applyFont="1" applyFill="1" applyBorder="1" applyAlignment="1">
      <alignment horizontal="center"/>
    </xf>
    <xf numFmtId="0" fontId="17" fillId="0" borderId="4" xfId="0" applyFont="1" applyBorder="1"/>
    <xf numFmtId="0" fontId="17" fillId="0" borderId="4" xfId="0" applyFont="1" applyFill="1" applyBorder="1"/>
    <xf numFmtId="0" fontId="17" fillId="0" borderId="4" xfId="0" applyFont="1" applyBorder="1" applyAlignment="1">
      <alignment horizontal="center"/>
    </xf>
    <xf numFmtId="44" fontId="17" fillId="0" borderId="4" xfId="0" applyNumberFormat="1" applyFont="1" applyBorder="1"/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4" fillId="0" borderId="0" xfId="1" applyFont="1" applyBorder="1" applyAlignment="1">
      <alignment horizontal="left"/>
    </xf>
    <xf numFmtId="4" fontId="5" fillId="2" borderId="0" xfId="0" applyNumberFormat="1" applyFont="1" applyFill="1" applyBorder="1" applyAlignment="1">
      <alignment vertical="center" wrapText="1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2" fontId="14" fillId="0" borderId="0" xfId="1" applyNumberFormat="1" applyFont="1" applyBorder="1"/>
    <xf numFmtId="0" fontId="14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44" fontId="19" fillId="0" borderId="4" xfId="0" applyNumberFormat="1" applyFont="1" applyBorder="1" applyAlignment="1">
      <alignment horizontal="center" vertical="center" wrapText="1"/>
    </xf>
    <xf numFmtId="44" fontId="19" fillId="0" borderId="4" xfId="0" applyNumberFormat="1" applyFont="1" applyBorder="1"/>
    <xf numFmtId="0" fontId="19" fillId="0" borderId="0" xfId="0" applyFont="1"/>
    <xf numFmtId="0" fontId="20" fillId="0" borderId="4" xfId="0" applyFont="1" applyBorder="1" applyAlignment="1">
      <alignment horizontal="center" vertical="center" wrapText="1"/>
    </xf>
    <xf numFmtId="44" fontId="20" fillId="0" borderId="4" xfId="0" applyNumberFormat="1" applyFont="1" applyBorder="1"/>
    <xf numFmtId="0" fontId="13" fillId="0" borderId="2" xfId="1" applyFont="1" applyBorder="1"/>
    <xf numFmtId="0" fontId="13" fillId="0" borderId="1" xfId="1" applyFont="1" applyBorder="1"/>
    <xf numFmtId="0" fontId="13" fillId="0" borderId="3" xfId="1" applyFont="1" applyBorder="1" applyAlignment="1">
      <alignment wrapText="1"/>
    </xf>
    <xf numFmtId="0" fontId="11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2" fontId="12" fillId="0" borderId="0" xfId="1" applyNumberFormat="1" applyFont="1"/>
    <xf numFmtId="2" fontId="9" fillId="0" borderId="0" xfId="1" applyNumberForma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1" fillId="2" borderId="4" xfId="1" applyFont="1" applyFill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" fontId="8" fillId="3" borderId="4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4" fontId="8" fillId="3" borderId="3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4" fillId="0" borderId="4" xfId="1" applyFont="1" applyBorder="1" applyAlignment="1">
      <alignment horizontal="left"/>
    </xf>
    <xf numFmtId="0" fontId="11" fillId="0" borderId="0" xfId="1" applyFont="1" applyAlignment="1">
      <alignment horizontal="center"/>
    </xf>
    <xf numFmtId="0" fontId="18" fillId="0" borderId="4" xfId="0" applyFont="1" applyBorder="1" applyAlignment="1">
      <alignment horizontal="center" vertical="center"/>
    </xf>
    <xf numFmtId="4" fontId="8" fillId="3" borderId="4" xfId="1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/>
    </xf>
    <xf numFmtId="164" fontId="13" fillId="0" borderId="4" xfId="1" applyNumberFormat="1" applyFont="1" applyBorder="1"/>
    <xf numFmtId="164" fontId="11" fillId="0" borderId="4" xfId="1" applyNumberFormat="1" applyFont="1" applyBorder="1"/>
    <xf numFmtId="164" fontId="13" fillId="0" borderId="5" xfId="1" applyNumberFormat="1" applyFont="1" applyBorder="1"/>
    <xf numFmtId="164" fontId="11" fillId="0" borderId="5" xfId="1" applyNumberFormat="1" applyFont="1" applyBorder="1"/>
    <xf numFmtId="164" fontId="13" fillId="0" borderId="4" xfId="1" applyNumberFormat="1" applyFont="1" applyBorder="1" applyAlignment="1"/>
    <xf numFmtId="164" fontId="11" fillId="0" borderId="4" xfId="1" applyNumberFormat="1" applyFont="1" applyBorder="1" applyAlignment="1"/>
    <xf numFmtId="164" fontId="11" fillId="0" borderId="0" xfId="1" applyNumberFormat="1" applyFont="1"/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164" fontId="11" fillId="0" borderId="7" xfId="1" applyNumberFormat="1" applyFont="1" applyBorder="1"/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164" fontId="11" fillId="0" borderId="0" xfId="1" applyNumberFormat="1" applyFont="1" applyAlignment="1"/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 wrapText="1"/>
    </xf>
    <xf numFmtId="0" fontId="13" fillId="0" borderId="4" xfId="1" applyFont="1" applyBorder="1" applyAlignment="1">
      <alignment horizontal="left"/>
    </xf>
    <xf numFmtId="4" fontId="8" fillId="3" borderId="0" xfId="1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164" fontId="13" fillId="0" borderId="2" xfId="1" applyNumberFormat="1" applyFont="1" applyBorder="1"/>
    <xf numFmtId="164" fontId="13" fillId="0" borderId="6" xfId="1" applyNumberFormat="1" applyFont="1" applyBorder="1"/>
    <xf numFmtId="0" fontId="11" fillId="0" borderId="3" xfId="1" applyFont="1" applyBorder="1" applyAlignment="1">
      <alignment horizontal="left"/>
    </xf>
    <xf numFmtId="164" fontId="11" fillId="2" borderId="4" xfId="1" applyNumberFormat="1" applyFont="1" applyFill="1" applyBorder="1"/>
    <xf numFmtId="0" fontId="11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4" fontId="8" fillId="3" borderId="4" xfId="1" applyNumberFormat="1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left"/>
    </xf>
    <xf numFmtId="0" fontId="11" fillId="0" borderId="4" xfId="1" applyFont="1" applyBorder="1" applyAlignment="1">
      <alignment horizontal="left"/>
    </xf>
    <xf numFmtId="0" fontId="13" fillId="0" borderId="4" xfId="1" applyFont="1" applyBorder="1" applyAlignment="1">
      <alignment horizontal="left" wrapText="1"/>
    </xf>
    <xf numFmtId="0" fontId="14" fillId="0" borderId="4" xfId="1" applyFont="1" applyBorder="1" applyAlignment="1">
      <alignment horizontal="left"/>
    </xf>
    <xf numFmtId="4" fontId="8" fillId="3" borderId="6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4" fontId="8" fillId="3" borderId="0" xfId="1" applyNumberFormat="1" applyFont="1" applyFill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3"/>
  <sheetViews>
    <sheetView view="pageBreakPreview" zoomScale="60" zoomScaleNormal="100" workbookViewId="0">
      <selection activeCell="A60" sqref="A60"/>
    </sheetView>
  </sheetViews>
  <sheetFormatPr defaultRowHeight="15"/>
  <cols>
    <col min="1" max="1" width="73.5703125" customWidth="1"/>
    <col min="2" max="2" width="0.28515625" customWidth="1"/>
    <col min="3" max="3" width="16.28515625" customWidth="1"/>
  </cols>
  <sheetData>
    <row r="1" spans="1:251" s="9" customFormat="1" ht="40.5" customHeight="1">
      <c r="A1" s="121" t="s">
        <v>78</v>
      </c>
      <c r="B1" s="17"/>
      <c r="C1" s="17"/>
      <c r="IQ1"/>
    </row>
    <row r="2" spans="1:251" s="9" customFormat="1" ht="46.5" customHeight="1">
      <c r="A2" s="138" t="s">
        <v>59</v>
      </c>
      <c r="B2" s="138"/>
      <c r="C2" s="100" t="s">
        <v>66</v>
      </c>
      <c r="IQ2"/>
    </row>
    <row r="3" spans="1:251" s="2" customFormat="1">
      <c r="A3" s="139" t="s">
        <v>3</v>
      </c>
      <c r="B3" s="139"/>
      <c r="C3" s="102">
        <v>261.8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</row>
    <row r="4" spans="1:251" s="2" customFormat="1">
      <c r="A4" s="134" t="s">
        <v>4</v>
      </c>
      <c r="B4" s="135"/>
      <c r="C4" s="102">
        <v>14.23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1" s="2" customFormat="1">
      <c r="A5" s="118" t="s">
        <v>70</v>
      </c>
      <c r="B5" s="101"/>
      <c r="C5" s="103">
        <v>3093.74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1" s="2" customFormat="1">
      <c r="A6" s="136" t="s">
        <v>35</v>
      </c>
      <c r="B6" s="137"/>
      <c r="C6" s="103">
        <v>44705.04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spans="1:251" s="2" customFormat="1">
      <c r="A7" s="140" t="s">
        <v>69</v>
      </c>
      <c r="B7" s="140"/>
      <c r="C7" s="103">
        <v>43781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</row>
    <row r="8" spans="1:251" s="2" customFormat="1">
      <c r="A8" s="140" t="s">
        <v>109</v>
      </c>
      <c r="B8" s="140"/>
      <c r="C8" s="103">
        <v>2796.58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</row>
    <row r="9" spans="1:251" s="2" customFormat="1" ht="21" customHeight="1">
      <c r="A9" s="141" t="s">
        <v>107</v>
      </c>
      <c r="B9" s="141"/>
      <c r="C9" s="102">
        <f>C7</f>
        <v>43781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</row>
    <row r="10" spans="1:251" s="2" customFormat="1">
      <c r="A10" s="142"/>
      <c r="B10" s="142"/>
      <c r="C10" s="10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</row>
    <row r="11" spans="1:251" s="2" customFormat="1">
      <c r="A11" s="139" t="s">
        <v>108</v>
      </c>
      <c r="B11" s="139"/>
      <c r="C11" s="102">
        <f>C13+C14+C15+C17+C18</f>
        <v>42180.598839999991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</row>
    <row r="12" spans="1:251" s="2" customFormat="1">
      <c r="A12" s="140" t="s">
        <v>6</v>
      </c>
      <c r="B12" s="140"/>
      <c r="C12" s="10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</row>
    <row r="13" spans="1:251" s="2" customFormat="1">
      <c r="A13" s="140" t="s">
        <v>1</v>
      </c>
      <c r="B13" s="140"/>
      <c r="C13" s="103">
        <f>C3*6.3*12</f>
        <v>19792.079999999998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spans="1:251" s="2" customFormat="1">
      <c r="A14" s="140" t="s">
        <v>14</v>
      </c>
      <c r="B14" s="140"/>
      <c r="C14" s="103">
        <f>0.33*C3*12*1.48</f>
        <v>1534.35744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spans="1:251" s="2" customFormat="1">
      <c r="A15" s="117" t="s">
        <v>7</v>
      </c>
      <c r="B15" s="117"/>
      <c r="C15" s="103">
        <v>5142.3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</row>
    <row r="16" spans="1:251" s="2" customFormat="1">
      <c r="A16" s="117" t="s">
        <v>9</v>
      </c>
      <c r="B16" s="117"/>
      <c r="C16" s="103">
        <v>73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</row>
    <row r="17" spans="1:250" s="2" customFormat="1">
      <c r="A17" s="117" t="s">
        <v>10</v>
      </c>
      <c r="B17" s="117"/>
      <c r="C17" s="103">
        <f>C16*110*1.302*1.19</f>
        <v>12441.5214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</row>
    <row r="18" spans="1:250" s="2" customFormat="1">
      <c r="A18" s="125" t="s">
        <v>115</v>
      </c>
      <c r="B18" s="125"/>
      <c r="C18" s="103">
        <v>3270.34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</row>
    <row r="19" spans="1:250" s="2" customFormat="1">
      <c r="A19" s="126" t="s">
        <v>70</v>
      </c>
      <c r="B19" s="116"/>
      <c r="C19" s="103">
        <f>C5</f>
        <v>3093.74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</row>
    <row r="20" spans="1:250" s="2" customFormat="1">
      <c r="A20" s="140" t="s">
        <v>120</v>
      </c>
      <c r="B20" s="140"/>
      <c r="C20" s="103">
        <f>C9-C11-C19</f>
        <v>-1493.3388399999913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</row>
    <row r="21" spans="1:250">
      <c r="A21" s="12"/>
      <c r="B21" s="12"/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</row>
    <row r="22" spans="1:250">
      <c r="A22" s="89" t="s">
        <v>11</v>
      </c>
      <c r="B22" s="12"/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</row>
    <row r="23" spans="1:250">
      <c r="A23" s="4"/>
      <c r="B23" s="4"/>
      <c r="C23" s="4"/>
    </row>
  </sheetData>
  <mergeCells count="13">
    <mergeCell ref="A20:B20"/>
    <mergeCell ref="A13:B13"/>
    <mergeCell ref="A14:B14"/>
    <mergeCell ref="A7:B7"/>
    <mergeCell ref="A8:B8"/>
    <mergeCell ref="A9:B9"/>
    <mergeCell ref="A11:B11"/>
    <mergeCell ref="A10:B10"/>
    <mergeCell ref="A4:B4"/>
    <mergeCell ref="A6:B6"/>
    <mergeCell ref="A2:B2"/>
    <mergeCell ref="A3:B3"/>
    <mergeCell ref="A12:B12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8"/>
  <sheetViews>
    <sheetView zoomScaleNormal="100" workbookViewId="0">
      <selection activeCell="A34" sqref="A34"/>
    </sheetView>
  </sheetViews>
  <sheetFormatPr defaultRowHeight="15"/>
  <cols>
    <col min="1" max="1" width="74.5703125" customWidth="1"/>
    <col min="2" max="2" width="16.5703125" customWidth="1"/>
  </cols>
  <sheetData>
    <row r="1" spans="1:252" s="4" customFormat="1">
      <c r="A1" s="6"/>
    </row>
    <row r="2" spans="1:252" s="12" customFormat="1" ht="43.5" customHeight="1">
      <c r="A2" s="143" t="s">
        <v>87</v>
      </c>
      <c r="B2" s="143"/>
      <c r="IP2" s="4"/>
    </row>
    <row r="3" spans="1:252" s="92" customFormat="1" ht="43.5" customHeight="1">
      <c r="A3" s="7" t="s">
        <v>57</v>
      </c>
      <c r="B3" s="7" t="s">
        <v>66</v>
      </c>
      <c r="IR3" s="93"/>
    </row>
    <row r="4" spans="1:252" s="4" customFormat="1">
      <c r="A4" s="11" t="s">
        <v>13</v>
      </c>
      <c r="B4" s="102">
        <v>721.62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52" s="4" customFormat="1">
      <c r="A5" s="11" t="s">
        <v>4</v>
      </c>
      <c r="B5" s="102">
        <v>35.69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</row>
    <row r="6" spans="1:252" s="4" customFormat="1">
      <c r="A6" s="10" t="s">
        <v>70</v>
      </c>
      <c r="B6" s="103">
        <v>153656.81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</row>
    <row r="7" spans="1:252" s="4" customFormat="1">
      <c r="A7" s="10" t="s">
        <v>35</v>
      </c>
      <c r="B7" s="103">
        <v>309055.44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</row>
    <row r="8" spans="1:252" s="4" customFormat="1">
      <c r="A8" s="10" t="s">
        <v>51</v>
      </c>
      <c r="B8" s="103">
        <v>3927.18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</row>
    <row r="9" spans="1:252" s="4" customFormat="1">
      <c r="A9" s="10" t="s">
        <v>39</v>
      </c>
      <c r="B9" s="103">
        <v>272805.40000000002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</row>
    <row r="10" spans="1:252" s="4" customFormat="1">
      <c r="A10" s="10" t="s">
        <v>109</v>
      </c>
      <c r="B10" s="103">
        <v>191608.59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</row>
    <row r="11" spans="1:252" s="4" customFormat="1" ht="22.5" customHeight="1">
      <c r="A11" s="18" t="s">
        <v>107</v>
      </c>
      <c r="B11" s="102">
        <f>B9</f>
        <v>272805.40000000002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</row>
    <row r="12" spans="1:252" s="4" customFormat="1">
      <c r="A12" s="17"/>
      <c r="B12" s="10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</row>
    <row r="13" spans="1:252" s="4" customFormat="1">
      <c r="A13" s="11" t="s">
        <v>108</v>
      </c>
      <c r="B13" s="102">
        <f>B15+B16+B17+B18+B19+B20+B22+B23+B24</f>
        <v>251165.33564000003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</row>
    <row r="14" spans="1:252" s="2" customFormat="1">
      <c r="A14" s="10" t="s">
        <v>6</v>
      </c>
      <c r="B14" s="10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</row>
    <row r="15" spans="1:252" s="2" customFormat="1">
      <c r="A15" s="10" t="s">
        <v>2</v>
      </c>
      <c r="B15" s="103">
        <f>1.28*12*B4</f>
        <v>11084.083199999999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spans="1:252" s="2" customFormat="1">
      <c r="A16" s="10" t="s">
        <v>37</v>
      </c>
      <c r="B16" s="103">
        <v>166414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51" s="2" customFormat="1">
      <c r="A17" s="10" t="s">
        <v>14</v>
      </c>
      <c r="B17" s="103">
        <f>0.33*B4*12</f>
        <v>2857.6152000000002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51" s="2" customFormat="1">
      <c r="A18" s="10" t="s">
        <v>1</v>
      </c>
      <c r="B18" s="103">
        <f>3.3*12*B4</f>
        <v>28576.151999999995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51" s="4" customFormat="1">
      <c r="A19" s="10" t="s">
        <v>7</v>
      </c>
      <c r="B19" s="103">
        <v>5025.45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</row>
    <row r="20" spans="1:251" s="2" customFormat="1">
      <c r="A20" s="10" t="s">
        <v>41</v>
      </c>
      <c r="B20" s="103">
        <f>0.02*9100*13*1.302*1.27</f>
        <v>3912.2756400000003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51" s="4" customFormat="1">
      <c r="A21" s="10" t="s">
        <v>9</v>
      </c>
      <c r="B21" s="103">
        <v>107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</row>
    <row r="22" spans="1:251" s="4" customFormat="1">
      <c r="A22" s="10" t="s">
        <v>10</v>
      </c>
      <c r="B22" s="103">
        <f>B21*160*1.302*1.29</f>
        <v>28754.409600000003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</row>
    <row r="23" spans="1:251" s="4" customFormat="1">
      <c r="A23" s="10" t="s">
        <v>75</v>
      </c>
      <c r="B23" s="103">
        <v>3927.18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</row>
    <row r="24" spans="1:251" s="2" customFormat="1">
      <c r="A24" s="10" t="s">
        <v>115</v>
      </c>
      <c r="B24" s="103">
        <v>614.16999999999996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</row>
    <row r="25" spans="1:251" s="2" customFormat="1">
      <c r="A25" s="10" t="s">
        <v>70</v>
      </c>
      <c r="B25" s="103">
        <f>B6</f>
        <v>153656.81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51" s="4" customFormat="1">
      <c r="A26" s="10" t="s">
        <v>120</v>
      </c>
      <c r="B26" s="103">
        <f>B11-B13-B25</f>
        <v>-132016.74564000001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</row>
    <row r="27" spans="1:251" s="4" customFormat="1">
      <c r="A27" s="12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</row>
    <row r="28" spans="1:251" s="2" customFormat="1">
      <c r="A28" s="89" t="s">
        <v>11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2"/>
  <sheetViews>
    <sheetView view="pageBreakPreview" zoomScale="60" zoomScaleNormal="100" workbookViewId="0">
      <selection activeCell="D25" sqref="D25"/>
    </sheetView>
  </sheetViews>
  <sheetFormatPr defaultRowHeight="15"/>
  <cols>
    <col min="1" max="1" width="74.5703125" customWidth="1"/>
    <col min="2" max="2" width="3.28515625" hidden="1" customWidth="1"/>
    <col min="3" max="3" width="14" customWidth="1"/>
  </cols>
  <sheetData>
    <row r="1" spans="1:254" s="4" customFormat="1">
      <c r="A1" s="6"/>
      <c r="B1" s="6"/>
    </row>
    <row r="2" spans="1:254" s="12" customFormat="1" ht="43.5" customHeight="1">
      <c r="A2" s="145" t="s">
        <v>88</v>
      </c>
      <c r="B2" s="145"/>
      <c r="C2" s="145"/>
      <c r="F2" s="4"/>
      <c r="IT2" s="4"/>
    </row>
    <row r="3" spans="1:254" s="92" customFormat="1" ht="43.5" customHeight="1">
      <c r="A3" s="7" t="s">
        <v>57</v>
      </c>
      <c r="B3" s="7" t="s">
        <v>58</v>
      </c>
      <c r="C3" s="77" t="s">
        <v>66</v>
      </c>
      <c r="IR3" s="93"/>
    </row>
    <row r="4" spans="1:254" s="4" customFormat="1">
      <c r="A4" s="11" t="s">
        <v>13</v>
      </c>
      <c r="B4" s="17"/>
      <c r="C4" s="102">
        <v>355.4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4" s="4" customFormat="1">
      <c r="A5" s="11" t="s">
        <v>4</v>
      </c>
      <c r="B5" s="17"/>
      <c r="C5" s="102">
        <v>27.8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4" s="4" customFormat="1">
      <c r="A6" s="10" t="s">
        <v>70</v>
      </c>
      <c r="B6" s="17"/>
      <c r="C6" s="103">
        <v>23294.45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4" s="4" customFormat="1">
      <c r="A7" s="10" t="s">
        <v>67</v>
      </c>
      <c r="B7" s="17"/>
      <c r="C7" s="103">
        <v>118561.44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4" s="4" customFormat="1">
      <c r="A8" s="10" t="s">
        <v>51</v>
      </c>
      <c r="B8" s="17"/>
      <c r="C8" s="103">
        <v>946.11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4" s="4" customFormat="1">
      <c r="A9" s="10" t="s">
        <v>39</v>
      </c>
      <c r="B9" s="17"/>
      <c r="C9" s="103">
        <v>118075.07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4" s="4" customFormat="1">
      <c r="A10" s="10" t="s">
        <v>109</v>
      </c>
      <c r="B10" s="17"/>
      <c r="C10" s="103">
        <f>C6+C7+C8-C9</f>
        <v>24726.929999999993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4" s="4" customFormat="1" ht="22.5" customHeight="1">
      <c r="A11" s="18" t="s">
        <v>107</v>
      </c>
      <c r="B11" s="28"/>
      <c r="C11" s="102">
        <f>C9</f>
        <v>118075.07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4" s="4" customFormat="1">
      <c r="A12" s="12"/>
      <c r="B12" s="12"/>
      <c r="C12" s="10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4" s="4" customFormat="1">
      <c r="A13" s="11" t="s">
        <v>108</v>
      </c>
      <c r="B13" s="17"/>
      <c r="C13" s="102">
        <f>C15+C16+C17+C18+C19+C20+C22+C23+C24</f>
        <v>139515.71159999998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4" s="4" customFormat="1">
      <c r="A14" s="10" t="s">
        <v>6</v>
      </c>
      <c r="B14" s="17"/>
      <c r="C14" s="10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4" s="4" customFormat="1">
      <c r="A15" s="10" t="s">
        <v>2</v>
      </c>
      <c r="B15" s="17"/>
      <c r="C15" s="103">
        <f>3.19*12*C4*1.2</f>
        <v>16325.654399999999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4" s="4" customFormat="1">
      <c r="A16" s="10" t="s">
        <v>37</v>
      </c>
      <c r="B16" s="17"/>
      <c r="C16" s="103">
        <v>78436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2" customFormat="1">
      <c r="A17" s="10" t="s">
        <v>14</v>
      </c>
      <c r="B17" s="17"/>
      <c r="C17" s="103">
        <f>0.33*C4*12*1.2</f>
        <v>1688.8607999999999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</row>
    <row r="18" spans="1:253" s="2" customFormat="1">
      <c r="A18" s="10" t="s">
        <v>1</v>
      </c>
      <c r="B18" s="17"/>
      <c r="C18" s="103">
        <v>16294.98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</row>
    <row r="19" spans="1:253" s="2" customFormat="1">
      <c r="A19" s="10" t="s">
        <v>7</v>
      </c>
      <c r="B19" s="17"/>
      <c r="C19" s="103">
        <v>4122.7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</row>
    <row r="20" spans="1:253" s="2" customFormat="1">
      <c r="A20" s="10" t="s">
        <v>41</v>
      </c>
      <c r="B20" s="17"/>
      <c r="C20" s="103">
        <f>0.02*9100*13*1.302*1.2</f>
        <v>3696.6383999999998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</row>
    <row r="21" spans="1:253" s="2" customFormat="1">
      <c r="A21" s="10" t="s">
        <v>9</v>
      </c>
      <c r="B21" s="17"/>
      <c r="C21" s="103">
        <v>54.5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</row>
    <row r="22" spans="1:253" s="2" customFormat="1">
      <c r="A22" s="10" t="s">
        <v>10</v>
      </c>
      <c r="B22" s="17"/>
      <c r="C22" s="103">
        <f>C21*130*1.302*1.4</f>
        <v>12914.537999999999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</row>
    <row r="23" spans="1:253" s="2" customFormat="1">
      <c r="A23" s="10" t="s">
        <v>75</v>
      </c>
      <c r="B23" s="17"/>
      <c r="C23" s="103">
        <v>946.11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</row>
    <row r="24" spans="1:253" s="2" customFormat="1">
      <c r="A24" s="10" t="s">
        <v>115</v>
      </c>
      <c r="B24" s="17"/>
      <c r="C24" s="103">
        <v>5090.2299999999996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</row>
    <row r="25" spans="1:253" s="2" customFormat="1">
      <c r="A25" s="10" t="s">
        <v>120</v>
      </c>
      <c r="B25" s="17"/>
      <c r="C25" s="103">
        <f>C11-C13</f>
        <v>-21440.641599999974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</row>
    <row r="26" spans="1:253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</row>
    <row r="27" spans="1:253" s="2" customFormat="1">
      <c r="A27" s="8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</row>
    <row r="28" spans="1:253" s="4" customFormat="1">
      <c r="F28" s="12"/>
    </row>
    <row r="29" spans="1:253" s="4" customFormat="1"/>
    <row r="30" spans="1:253" s="4" customFormat="1"/>
    <row r="31" spans="1:253" s="4" customFormat="1"/>
    <row r="32" spans="1:253">
      <c r="F32" s="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0"/>
  <sheetViews>
    <sheetView view="pageBreakPreview" zoomScale="60" zoomScaleNormal="100" workbookViewId="0">
      <selection activeCell="D17" sqref="D17"/>
    </sheetView>
  </sheetViews>
  <sheetFormatPr defaultRowHeight="15"/>
  <cols>
    <col min="1" max="1" width="71.5703125" customWidth="1"/>
    <col min="2" max="2" width="14" customWidth="1"/>
  </cols>
  <sheetData>
    <row r="1" spans="1:251" s="4" customFormat="1" ht="59.25" customHeight="1">
      <c r="A1" s="146" t="s">
        <v>89</v>
      </c>
      <c r="B1" s="147"/>
    </row>
    <row r="2" spans="1:251" s="92" customFormat="1" ht="43.5" customHeight="1">
      <c r="A2" s="7" t="s">
        <v>57</v>
      </c>
      <c r="B2" s="7" t="s">
        <v>66</v>
      </c>
      <c r="IQ2" s="93"/>
    </row>
    <row r="3" spans="1:251" s="4" customFormat="1">
      <c r="A3" s="68" t="s">
        <v>40</v>
      </c>
      <c r="B3" s="102">
        <v>208.8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</row>
    <row r="4" spans="1:251" s="4" customFormat="1">
      <c r="A4" s="22" t="s">
        <v>4</v>
      </c>
      <c r="B4" s="102">
        <v>20.51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51" s="2" customFormat="1">
      <c r="A5" s="23" t="s">
        <v>70</v>
      </c>
      <c r="B5" s="103">
        <v>54338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</row>
    <row r="6" spans="1:251" s="2" customFormat="1">
      <c r="A6" s="23" t="s">
        <v>35</v>
      </c>
      <c r="B6" s="103">
        <v>51389.88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</row>
    <row r="7" spans="1:251" s="2" customFormat="1">
      <c r="A7" s="23" t="s">
        <v>51</v>
      </c>
      <c r="B7" s="103">
        <v>969.9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</row>
    <row r="8" spans="1:251" s="2" customFormat="1">
      <c r="A8" s="23" t="s">
        <v>39</v>
      </c>
      <c r="B8" s="103">
        <v>37288.67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spans="1:251" s="2" customFormat="1">
      <c r="A9" s="23" t="s">
        <v>109</v>
      </c>
      <c r="B9" s="103">
        <f>B5+B6+B7-B8</f>
        <v>69409.11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spans="1:251" s="4" customFormat="1" ht="29.25" customHeight="1">
      <c r="A10" s="69" t="s">
        <v>107</v>
      </c>
      <c r="B10" s="102">
        <f>B8</f>
        <v>37288.67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</row>
    <row r="11" spans="1:251" s="4" customFormat="1">
      <c r="A11" s="12"/>
      <c r="B11" s="10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</row>
    <row r="12" spans="1:251" s="4" customFormat="1">
      <c r="A12" s="22" t="s">
        <v>108</v>
      </c>
      <c r="B12" s="102">
        <v>48966.96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</row>
    <row r="13" spans="1:251" s="4" customFormat="1">
      <c r="A13" s="23" t="s">
        <v>6</v>
      </c>
      <c r="B13" s="10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</row>
    <row r="14" spans="1:251" s="4" customFormat="1">
      <c r="A14" s="23" t="s">
        <v>2</v>
      </c>
      <c r="B14" s="103">
        <f>3.19*12*B3</f>
        <v>7992.8640000000005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</row>
    <row r="15" spans="1:251" s="4" customFormat="1">
      <c r="A15" s="23" t="s">
        <v>1</v>
      </c>
      <c r="B15" s="103">
        <v>11392.36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</row>
    <row r="16" spans="1:251" s="2" customFormat="1">
      <c r="A16" s="23" t="s">
        <v>14</v>
      </c>
      <c r="B16" s="103">
        <f>0.33*12*B3*1.12</f>
        <v>926.0697600000002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49" s="4" customFormat="1">
      <c r="A17" s="23" t="s">
        <v>7</v>
      </c>
      <c r="B17" s="103">
        <v>511.25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</row>
    <row r="18" spans="1:249" s="2" customFormat="1">
      <c r="A18" s="23" t="s">
        <v>12</v>
      </c>
      <c r="B18" s="103">
        <f>0.01*9100*12*1.302*1.19</f>
        <v>1691.9229600000001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49" s="4" customFormat="1">
      <c r="A19" s="23" t="s">
        <v>9</v>
      </c>
      <c r="B19" s="103">
        <v>80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</row>
    <row r="20" spans="1:249" s="4" customFormat="1">
      <c r="A20" s="23" t="s">
        <v>10</v>
      </c>
      <c r="B20" s="103">
        <f>B19*110*1.302*2</f>
        <v>22915.200000000001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</row>
    <row r="21" spans="1:249" s="4" customFormat="1">
      <c r="A21" s="23" t="s">
        <v>75</v>
      </c>
      <c r="B21" s="103">
        <v>969.9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</row>
    <row r="22" spans="1:249" s="2" customFormat="1">
      <c r="A22" s="23" t="s">
        <v>115</v>
      </c>
      <c r="B22" s="103">
        <v>2567.4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49" s="4" customFormat="1">
      <c r="A23" s="23" t="s">
        <v>120</v>
      </c>
      <c r="B23" s="103">
        <f>B10-B12</f>
        <v>-11678.29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</row>
    <row r="24" spans="1:249" s="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</row>
    <row r="25" spans="1:249" s="2" customFormat="1">
      <c r="A25" s="144" t="s">
        <v>11</v>
      </c>
      <c r="B25" s="14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49" s="4" customFormat="1"/>
    <row r="27" spans="1:249" s="4" customFormat="1" ht="15" customHeight="1">
      <c r="A27" s="25"/>
    </row>
    <row r="28" spans="1:249" s="4" customFormat="1">
      <c r="B28" s="30"/>
    </row>
    <row r="29" spans="1:249" s="4" customFormat="1"/>
    <row r="30" spans="1:249" s="4" customFormat="1"/>
  </sheetData>
  <mergeCells count="2">
    <mergeCell ref="A1:B1"/>
    <mergeCell ref="A25:B25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6"/>
  <sheetViews>
    <sheetView zoomScaleNormal="100" workbookViewId="0">
      <selection activeCell="B25" sqref="B25"/>
    </sheetView>
  </sheetViews>
  <sheetFormatPr defaultRowHeight="15"/>
  <cols>
    <col min="1" max="1" width="81.5703125" customWidth="1"/>
    <col min="2" max="2" width="13.5703125" customWidth="1"/>
  </cols>
  <sheetData>
    <row r="1" spans="1:251" s="12" customFormat="1" ht="43.5" customHeight="1">
      <c r="A1" s="143" t="s">
        <v>90</v>
      </c>
      <c r="B1" s="143"/>
      <c r="IO1" s="4"/>
    </row>
    <row r="2" spans="1:251" s="92" customFormat="1" ht="43.5" customHeight="1">
      <c r="A2" s="7" t="s">
        <v>57</v>
      </c>
      <c r="B2" s="7" t="s">
        <v>66</v>
      </c>
      <c r="IQ2" s="93"/>
    </row>
    <row r="3" spans="1:251" s="4" customFormat="1">
      <c r="A3" s="11" t="s">
        <v>3</v>
      </c>
      <c r="B3" s="102">
        <v>222.4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51" s="4" customFormat="1">
      <c r="A4" s="11" t="s">
        <v>4</v>
      </c>
      <c r="B4" s="102">
        <v>35.69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spans="1:251" s="4" customFormat="1">
      <c r="A5" s="10" t="s">
        <v>70</v>
      </c>
      <c r="B5" s="103">
        <v>1965.58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51" s="4" customFormat="1">
      <c r="A6" s="10" t="s">
        <v>35</v>
      </c>
      <c r="B6" s="103">
        <v>95249.4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spans="1:251" s="4" customFormat="1">
      <c r="A7" s="10" t="s">
        <v>68</v>
      </c>
      <c r="B7" s="103">
        <v>735.08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spans="1:251" s="4" customFormat="1">
      <c r="A8" s="10" t="s">
        <v>39</v>
      </c>
      <c r="B8" s="103">
        <v>94090.23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spans="1:251" s="4" customFormat="1">
      <c r="A9" s="10" t="s">
        <v>109</v>
      </c>
      <c r="B9" s="103">
        <f>B5+B6+B7-B8</f>
        <v>3859.8300000000017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spans="1:251" s="2" customFormat="1" ht="16.5" customHeight="1">
      <c r="A10" s="18" t="s">
        <v>107</v>
      </c>
      <c r="B10" s="102">
        <f>B8</f>
        <v>94090.23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51" s="4" customFormat="1">
      <c r="A11" s="12"/>
      <c r="B11" s="10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spans="1:251" s="2" customFormat="1">
      <c r="A12" s="11" t="s">
        <v>108</v>
      </c>
      <c r="B12" s="102">
        <v>88772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51" s="2" customFormat="1">
      <c r="A13" s="10" t="s">
        <v>6</v>
      </c>
      <c r="B13" s="10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51" s="2" customFormat="1">
      <c r="A14" s="10" t="s">
        <v>2</v>
      </c>
      <c r="B14" s="103">
        <f>3.19*B3*12*1.2</f>
        <v>10216.1664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51" s="2" customFormat="1">
      <c r="A15" s="10" t="s">
        <v>37</v>
      </c>
      <c r="B15" s="103">
        <v>45249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51" s="2" customFormat="1">
      <c r="A16" s="10" t="s">
        <v>14</v>
      </c>
      <c r="B16" s="103">
        <f>0.33*B3*12*1.3</f>
        <v>1144.9152000000004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s="2" customFormat="1">
      <c r="A17" s="10" t="s">
        <v>1</v>
      </c>
      <c r="B17" s="103">
        <f>2.92*12*B3</f>
        <v>7792.8959999999997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s="2" customFormat="1">
      <c r="A18" s="10" t="s">
        <v>7</v>
      </c>
      <c r="B18" s="103">
        <v>3971.5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s="2" customFormat="1">
      <c r="A19" s="10" t="s">
        <v>41</v>
      </c>
      <c r="B19" s="103">
        <f>0.02*9100*13*1.302*1.3</f>
        <v>4004.6916000000006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s="2" customFormat="1">
      <c r="A20" s="10" t="s">
        <v>9</v>
      </c>
      <c r="B20" s="103">
        <v>68.5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s="2" customFormat="1">
      <c r="A21" s="10" t="s">
        <v>10</v>
      </c>
      <c r="B21" s="103">
        <f>B20*130*1.302*1.3</f>
        <v>15072.603000000003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s="2" customFormat="1">
      <c r="A22" s="10" t="s">
        <v>76</v>
      </c>
      <c r="B22" s="103">
        <v>571.20000000000005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s="2" customFormat="1">
      <c r="A23" s="10" t="s">
        <v>115</v>
      </c>
      <c r="B23" s="103">
        <v>749.02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s="2" customFormat="1">
      <c r="A24" s="10" t="s">
        <v>70</v>
      </c>
      <c r="B24" s="103">
        <v>1965.58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s="2" customFormat="1">
      <c r="A25" s="10" t="s">
        <v>119</v>
      </c>
      <c r="B25" s="103">
        <f>B10-B12-B24</f>
        <v>3352.649999999996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spans="1:248" s="2" customFormat="1">
      <c r="A27" s="8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48" s="4" customFormat="1"/>
    <row r="29" spans="1:248" s="4" customFormat="1"/>
    <row r="30" spans="1:248" s="4" customFormat="1"/>
    <row r="31" spans="1:248" s="4" customFormat="1"/>
    <row r="32" spans="1:248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4"/>
  <sheetViews>
    <sheetView view="pageBreakPreview" zoomScale="60" zoomScaleNormal="100" workbookViewId="0">
      <selection activeCell="E11" sqref="E11"/>
    </sheetView>
  </sheetViews>
  <sheetFormatPr defaultRowHeight="15"/>
  <cols>
    <col min="1" max="1" width="76.85546875" customWidth="1"/>
    <col min="2" max="2" width="15.7109375" customWidth="1"/>
  </cols>
  <sheetData>
    <row r="1" spans="1:251" s="12" customFormat="1" ht="40.5" customHeight="1">
      <c r="A1" s="143" t="s">
        <v>91</v>
      </c>
      <c r="B1" s="143"/>
      <c r="IQ1" s="4"/>
    </row>
    <row r="2" spans="1:251" s="92" customFormat="1" ht="43.5" customHeight="1">
      <c r="A2" s="7" t="s">
        <v>57</v>
      </c>
      <c r="B2" s="7" t="s">
        <v>66</v>
      </c>
      <c r="IQ2" s="93"/>
    </row>
    <row r="3" spans="1:251" s="4" customFormat="1">
      <c r="A3" s="81" t="s">
        <v>3</v>
      </c>
      <c r="B3" s="102">
        <v>696.35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</row>
    <row r="4" spans="1:251" s="4" customFormat="1">
      <c r="A4" s="81" t="s">
        <v>4</v>
      </c>
      <c r="B4" s="102">
        <v>20.51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</row>
    <row r="5" spans="1:251" s="4" customFormat="1">
      <c r="A5" s="118" t="s">
        <v>70</v>
      </c>
      <c r="B5" s="103">
        <v>25252.240000000002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</row>
    <row r="6" spans="1:251" s="4" customFormat="1">
      <c r="A6" s="80" t="s">
        <v>35</v>
      </c>
      <c r="B6" s="103">
        <v>170422.54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</row>
    <row r="7" spans="1:251" s="4" customFormat="1">
      <c r="A7" s="109" t="s">
        <v>51</v>
      </c>
      <c r="B7" s="103">
        <v>3910.42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</row>
    <row r="8" spans="1:251" s="4" customFormat="1">
      <c r="A8" s="123" t="s">
        <v>5</v>
      </c>
      <c r="B8" s="103">
        <v>2470.21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</row>
    <row r="9" spans="1:251" s="4" customFormat="1">
      <c r="A9" s="109" t="s">
        <v>39</v>
      </c>
      <c r="B9" s="103">
        <v>168380.96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pans="1:251" s="4" customFormat="1">
      <c r="A10" s="118" t="s">
        <v>109</v>
      </c>
      <c r="B10" s="103">
        <v>33812.81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</row>
    <row r="11" spans="1:251" s="4" customFormat="1" ht="19.5" customHeight="1">
      <c r="A11" s="119" t="s">
        <v>107</v>
      </c>
      <c r="B11" s="102">
        <f>B9</f>
        <v>168380.96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1" s="4" customFormat="1">
      <c r="A12" s="58"/>
      <c r="B12" s="10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</row>
    <row r="13" spans="1:251" s="2" customFormat="1">
      <c r="A13" s="120" t="s">
        <v>108</v>
      </c>
      <c r="B13" s="102">
        <f>B15+B16+B17+B18+B19+B21+B22+B23+B24+B25</f>
        <v>175059.16580000002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spans="1:251" s="2" customFormat="1">
      <c r="A14" s="83" t="s">
        <v>6</v>
      </c>
      <c r="B14" s="10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spans="1:251" s="2" customFormat="1">
      <c r="A15" s="80" t="s">
        <v>2</v>
      </c>
      <c r="B15" s="103">
        <f>3.19*12*B3</f>
        <v>26656.278000000002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</row>
    <row r="16" spans="1:251" s="2" customFormat="1">
      <c r="A16" s="80" t="s">
        <v>1</v>
      </c>
      <c r="B16" s="103">
        <f>12*3.919*B3</f>
        <v>32747.947800000002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</row>
    <row r="17" spans="1:250" s="2" customFormat="1">
      <c r="A17" s="80" t="s">
        <v>14</v>
      </c>
      <c r="B17" s="103">
        <f>0.33*B3*12</f>
        <v>2757.5460000000003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</row>
    <row r="18" spans="1:250" s="2" customFormat="1">
      <c r="A18" s="83" t="s">
        <v>7</v>
      </c>
      <c r="B18" s="103">
        <v>4011.13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</row>
    <row r="19" spans="1:250" s="2" customFormat="1">
      <c r="A19" s="80" t="s">
        <v>12</v>
      </c>
      <c r="B19" s="103">
        <f>0.01*9100*12*1.302</f>
        <v>1421.7840000000001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</row>
    <row r="20" spans="1:250" s="2" customFormat="1">
      <c r="A20" s="83" t="s">
        <v>9</v>
      </c>
      <c r="B20" s="103">
        <v>163.5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</row>
    <row r="21" spans="1:250" s="2" customFormat="1">
      <c r="A21" s="83" t="s">
        <v>10</v>
      </c>
      <c r="B21" s="103">
        <f>B20*130*1.302</f>
        <v>27674.010000000002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</row>
    <row r="22" spans="1:250" s="2" customFormat="1">
      <c r="A22" s="113" t="s">
        <v>75</v>
      </c>
      <c r="B22" s="103">
        <v>3910.42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</row>
    <row r="23" spans="1:250" s="2" customFormat="1">
      <c r="A23" s="126" t="s">
        <v>76</v>
      </c>
      <c r="B23" s="103">
        <v>8482.32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</row>
    <row r="24" spans="1:250" s="2" customFormat="1">
      <c r="A24" s="125" t="s">
        <v>115</v>
      </c>
      <c r="B24" s="103">
        <v>4157.2299999999996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</row>
    <row r="25" spans="1:250" s="2" customFormat="1">
      <c r="A25" s="114" t="s">
        <v>77</v>
      </c>
      <c r="B25" s="103">
        <v>63240.5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</row>
    <row r="26" spans="1:250" s="2" customFormat="1">
      <c r="A26" s="126" t="s">
        <v>120</v>
      </c>
      <c r="B26" s="103">
        <f>B11-B13</f>
        <v>-6678.2058000000252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</row>
    <row r="27" spans="1:250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</row>
    <row r="28" spans="1:250" s="4" customFormat="1">
      <c r="A28" s="144" t="s">
        <v>11</v>
      </c>
      <c r="B28" s="14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</row>
    <row r="29" spans="1:250" s="4" customFormat="1"/>
    <row r="30" spans="1:250" s="4" customFormat="1"/>
    <row r="31" spans="1:250" s="4" customFormat="1"/>
    <row r="32" spans="1:250" s="4" customFormat="1"/>
    <row r="33" s="4" customFormat="1"/>
    <row r="34" s="4" customFormat="1"/>
  </sheetData>
  <mergeCells count="2">
    <mergeCell ref="A1:B1"/>
    <mergeCell ref="A28:B28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R71"/>
  <sheetViews>
    <sheetView zoomScaleNormal="100" workbookViewId="0">
      <selection activeCell="G11" sqref="G11"/>
    </sheetView>
  </sheetViews>
  <sheetFormatPr defaultRowHeight="15"/>
  <cols>
    <col min="1" max="1" width="71.5703125" customWidth="1"/>
    <col min="2" max="2" width="13.7109375" customWidth="1"/>
  </cols>
  <sheetData>
    <row r="1" spans="1:252" s="12" customFormat="1" ht="43.5" customHeight="1">
      <c r="A1" s="143" t="s">
        <v>92</v>
      </c>
      <c r="B1" s="143"/>
      <c r="IR1" s="4"/>
    </row>
    <row r="2" spans="1:252" s="92" customFormat="1" ht="43.5" customHeight="1">
      <c r="A2" s="7" t="s">
        <v>57</v>
      </c>
      <c r="B2" s="7" t="s">
        <v>66</v>
      </c>
      <c r="IQ2" s="93"/>
    </row>
    <row r="3" spans="1:252" s="4" customFormat="1">
      <c r="A3" s="22" t="s">
        <v>3</v>
      </c>
      <c r="B3" s="102">
        <v>2901.66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pans="1:252" s="4" customFormat="1">
      <c r="A4" s="22" t="s">
        <v>4</v>
      </c>
      <c r="B4" s="102">
        <v>22.68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pans="1:252" s="2" customFormat="1">
      <c r="A5" s="23" t="s">
        <v>70</v>
      </c>
      <c r="B5" s="103">
        <v>277646.15000000002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2" s="2" customFormat="1">
      <c r="A6" s="23" t="s">
        <v>53</v>
      </c>
      <c r="B6" s="103">
        <v>778189.55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</row>
    <row r="7" spans="1:252" s="2" customFormat="1">
      <c r="A7" s="23" t="s">
        <v>51</v>
      </c>
      <c r="B7" s="103">
        <v>88414.49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spans="1:252" s="2" customFormat="1">
      <c r="A8" s="23" t="s">
        <v>5</v>
      </c>
      <c r="B8" s="103">
        <v>30922.76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</row>
    <row r="9" spans="1:252" s="2" customFormat="1">
      <c r="A9" s="23" t="s">
        <v>39</v>
      </c>
      <c r="B9" s="103">
        <v>702021.38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2" s="2" customFormat="1">
      <c r="A10" s="23" t="s">
        <v>109</v>
      </c>
      <c r="B10" s="103">
        <v>472251.36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2" s="2" customFormat="1" ht="29.25" customHeight="1">
      <c r="A11" s="69" t="s">
        <v>107</v>
      </c>
      <c r="B11" s="102">
        <f>B9</f>
        <v>702021.38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2" s="2" customFormat="1">
      <c r="A12" s="17"/>
      <c r="B12" s="10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</row>
    <row r="13" spans="1:252" s="2" customFormat="1">
      <c r="A13" s="22" t="s">
        <v>108</v>
      </c>
      <c r="B13" s="102">
        <f>B15+B16+B17+B18+B19+B21+B22+B23+B24</f>
        <v>957243.07436800003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</row>
    <row r="14" spans="1:252" s="2" customFormat="1">
      <c r="A14" s="23" t="s">
        <v>6</v>
      </c>
      <c r="B14" s="10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2" s="2" customFormat="1">
      <c r="A15" s="23" t="s">
        <v>2</v>
      </c>
      <c r="B15" s="103">
        <f>3.19*12*B3</f>
        <v>111075.5448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2" s="2" customFormat="1">
      <c r="A16" s="23" t="s">
        <v>14</v>
      </c>
      <c r="B16" s="103">
        <f>0.33*12*B3*1.13</f>
        <v>12984.348167999999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2" customFormat="1">
      <c r="A17" s="23" t="s">
        <v>7</v>
      </c>
      <c r="B17" s="103">
        <v>12845.58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2" customFormat="1">
      <c r="A18" s="23" t="s">
        <v>1</v>
      </c>
      <c r="B18" s="103">
        <v>116245.89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2" customFormat="1">
      <c r="A19" s="23" t="s">
        <v>74</v>
      </c>
      <c r="B19" s="103">
        <f>(1.4*9100*13*1.302+657813/12*3)*1.16</f>
        <v>440904.96839999995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s="2" customFormat="1">
      <c r="A20" s="23" t="s">
        <v>9</v>
      </c>
      <c r="B20" s="103">
        <v>406.5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s="2" customFormat="1">
      <c r="A21" s="23" t="s">
        <v>10</v>
      </c>
      <c r="B21" s="103">
        <f>B20*130*1.302*1.7</f>
        <v>116967.12300000001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s="2" customFormat="1">
      <c r="A22" s="23" t="s">
        <v>76</v>
      </c>
      <c r="B22" s="103">
        <v>30922.76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s="2" customFormat="1">
      <c r="A23" s="23" t="s">
        <v>75</v>
      </c>
      <c r="B23" s="103">
        <v>88414.49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s="2" customFormat="1">
      <c r="A24" s="23" t="s">
        <v>115</v>
      </c>
      <c r="B24" s="103">
        <v>26882.37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s="2" customFormat="1">
      <c r="A25" s="127" t="s">
        <v>120</v>
      </c>
      <c r="B25" s="103">
        <f>B11-B13</f>
        <v>-255221.69436800003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51" s="2" customFormat="1">
      <c r="A26" s="3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51" s="2" customFormat="1">
      <c r="A27" s="86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</row>
    <row r="28" spans="1:251" s="4" customFormat="1"/>
    <row r="29" spans="1:251" s="4" customFormat="1"/>
    <row r="30" spans="1:251" s="4" customFormat="1"/>
    <row r="31" spans="1:251" s="4" customFormat="1"/>
    <row r="32" spans="1:251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24"/>
  <sheetViews>
    <sheetView zoomScaleNormal="100" workbookViewId="0">
      <selection activeCell="F15" sqref="F15"/>
    </sheetView>
  </sheetViews>
  <sheetFormatPr defaultRowHeight="15"/>
  <cols>
    <col min="1" max="1" width="74.7109375" customWidth="1"/>
    <col min="2" max="2" width="14.85546875" customWidth="1"/>
  </cols>
  <sheetData>
    <row r="1" spans="1:252" s="12" customFormat="1" ht="48.75" customHeight="1">
      <c r="A1" s="143" t="s">
        <v>93</v>
      </c>
      <c r="B1" s="143"/>
      <c r="IR1" s="4"/>
    </row>
    <row r="2" spans="1:252" s="92" customFormat="1" ht="48.75" customHeight="1">
      <c r="A2" s="7" t="s">
        <v>57</v>
      </c>
      <c r="B2" s="7" t="s">
        <v>66</v>
      </c>
      <c r="IQ2" s="93"/>
    </row>
    <row r="3" spans="1:252" s="2" customFormat="1" ht="15.75" customHeight="1">
      <c r="A3" s="11" t="s">
        <v>3</v>
      </c>
      <c r="B3" s="102">
        <v>710.6</v>
      </c>
    </row>
    <row r="4" spans="1:252" s="2" customFormat="1">
      <c r="A4" s="11" t="s">
        <v>4</v>
      </c>
      <c r="B4" s="102">
        <v>20.51</v>
      </c>
    </row>
    <row r="5" spans="1:252" s="2" customFormat="1">
      <c r="A5" s="10" t="s">
        <v>111</v>
      </c>
      <c r="B5" s="103">
        <v>32519.42</v>
      </c>
    </row>
    <row r="6" spans="1:252" s="9" customFormat="1" ht="15.75" customHeight="1">
      <c r="A6" s="10" t="s">
        <v>35</v>
      </c>
      <c r="B6" s="103">
        <v>174893.04</v>
      </c>
      <c r="IN6"/>
    </row>
    <row r="7" spans="1:252">
      <c r="A7" s="10" t="s">
        <v>69</v>
      </c>
      <c r="B7" s="103">
        <v>175598.22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</row>
    <row r="8" spans="1:252">
      <c r="A8" s="10" t="s">
        <v>109</v>
      </c>
      <c r="B8" s="103">
        <f>B5+B6-B7</f>
        <v>31814.24000000002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</row>
    <row r="9" spans="1:252" s="2" customFormat="1">
      <c r="A9" s="18" t="s">
        <v>107</v>
      </c>
      <c r="B9" s="102">
        <f>B7</f>
        <v>175598.22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</row>
    <row r="10" spans="1:252" s="2" customFormat="1">
      <c r="A10" s="12"/>
      <c r="B10" s="10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</row>
    <row r="11" spans="1:252" s="2" customFormat="1">
      <c r="A11" s="11" t="s">
        <v>108</v>
      </c>
      <c r="B11" s="102">
        <v>177007.15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</row>
    <row r="12" spans="1:252" s="2" customFormat="1">
      <c r="A12" s="10" t="s">
        <v>6</v>
      </c>
      <c r="B12" s="10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</row>
    <row r="13" spans="1:252" s="2" customFormat="1" ht="15.75" customHeight="1">
      <c r="A13" s="10" t="s">
        <v>2</v>
      </c>
      <c r="B13" s="103">
        <f>3.19*12*B3</f>
        <v>27201.768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</row>
    <row r="14" spans="1:252">
      <c r="A14" s="10" t="s">
        <v>1</v>
      </c>
      <c r="B14" s="103">
        <v>19952.45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</row>
    <row r="15" spans="1:252">
      <c r="A15" s="10" t="s">
        <v>14</v>
      </c>
      <c r="B15" s="103">
        <f>0.33*12*B3</f>
        <v>2813.9760000000001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</row>
    <row r="16" spans="1:252" s="2" customFormat="1">
      <c r="A16" s="10" t="s">
        <v>7</v>
      </c>
      <c r="B16" s="103">
        <v>4913.25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</row>
    <row r="17" spans="1:247" s="2" customFormat="1">
      <c r="A17" s="10" t="s">
        <v>12</v>
      </c>
      <c r="B17" s="103">
        <f>0.02*7600*12*1.302*1.2</f>
        <v>2849.8175999999999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</row>
    <row r="18" spans="1:247" s="2" customFormat="1">
      <c r="A18" s="10" t="s">
        <v>9</v>
      </c>
      <c r="B18" s="103">
        <v>213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</row>
    <row r="19" spans="1:247" s="2" customFormat="1">
      <c r="A19" s="10" t="s">
        <v>10</v>
      </c>
      <c r="B19" s="103">
        <f>B18*160*1.303</f>
        <v>44406.239999999998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</row>
    <row r="20" spans="1:247">
      <c r="A20" s="10" t="s">
        <v>0</v>
      </c>
      <c r="B20" s="103">
        <v>65142.85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</row>
    <row r="21" spans="1:247" s="2" customFormat="1">
      <c r="A21" s="10" t="s">
        <v>115</v>
      </c>
      <c r="B21" s="103">
        <v>9726.7900000000009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</row>
    <row r="22" spans="1:247">
      <c r="A22" s="19" t="s">
        <v>120</v>
      </c>
      <c r="B22" s="103">
        <f>B9-B11</f>
        <v>-1408.929999999993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</row>
    <row r="23" spans="1:24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</row>
    <row r="24" spans="1:247" s="2" customFormat="1">
      <c r="A24" s="33" t="s">
        <v>11</v>
      </c>
      <c r="B24" s="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R44"/>
  <sheetViews>
    <sheetView zoomScaleNormal="100" workbookViewId="0">
      <selection activeCell="A33" sqref="A33"/>
    </sheetView>
  </sheetViews>
  <sheetFormatPr defaultRowHeight="15"/>
  <cols>
    <col min="1" max="1" width="71.5703125" customWidth="1"/>
    <col min="2" max="2" width="22.7109375" hidden="1" customWidth="1"/>
    <col min="3" max="3" width="16.42578125" customWidth="1"/>
  </cols>
  <sheetData>
    <row r="1" spans="1:252" s="12" customFormat="1" ht="43.5" customHeight="1">
      <c r="A1" s="145" t="s">
        <v>94</v>
      </c>
      <c r="B1" s="145"/>
      <c r="IP1" s="4"/>
    </row>
    <row r="2" spans="1:252" s="92" customFormat="1" ht="43.5" customHeight="1">
      <c r="A2" s="7" t="s">
        <v>57</v>
      </c>
      <c r="B2" s="7" t="s">
        <v>58</v>
      </c>
      <c r="C2" s="77" t="s">
        <v>66</v>
      </c>
      <c r="IR2" s="93"/>
    </row>
    <row r="3" spans="1:252" s="2" customFormat="1" ht="18.75" customHeight="1">
      <c r="A3" s="96" t="s">
        <v>3</v>
      </c>
      <c r="B3" s="1"/>
      <c r="C3" s="102">
        <v>1064.0999999999999</v>
      </c>
    </row>
    <row r="4" spans="1:252" s="4" customFormat="1">
      <c r="A4" s="96" t="s">
        <v>4</v>
      </c>
      <c r="B4" s="1"/>
      <c r="C4" s="102">
        <v>20.51</v>
      </c>
    </row>
    <row r="5" spans="1:252" s="4" customFormat="1">
      <c r="A5" s="122" t="s">
        <v>70</v>
      </c>
      <c r="B5" s="1"/>
      <c r="C5" s="103">
        <v>108826.21</v>
      </c>
    </row>
    <row r="6" spans="1:252" s="4" customFormat="1">
      <c r="A6" s="95" t="s">
        <v>35</v>
      </c>
      <c r="B6" s="1"/>
      <c r="C6" s="103">
        <v>261896.64</v>
      </c>
    </row>
    <row r="7" spans="1:252" s="4" customFormat="1">
      <c r="A7" s="109" t="s">
        <v>5</v>
      </c>
      <c r="B7" s="1"/>
      <c r="C7" s="103">
        <v>2682.42</v>
      </c>
    </row>
    <row r="8" spans="1:252" s="4" customFormat="1">
      <c r="A8" s="123" t="s">
        <v>51</v>
      </c>
      <c r="B8" s="1"/>
      <c r="C8" s="103">
        <v>1773.27</v>
      </c>
    </row>
    <row r="9" spans="1:252" s="4" customFormat="1" ht="15" customHeight="1">
      <c r="A9" s="110" t="s">
        <v>39</v>
      </c>
      <c r="B9" s="1"/>
      <c r="C9" s="103">
        <v>212320.27</v>
      </c>
    </row>
    <row r="10" spans="1:252" s="4" customFormat="1" ht="15" customHeight="1">
      <c r="A10" s="122" t="s">
        <v>109</v>
      </c>
      <c r="B10" s="1"/>
      <c r="C10" s="103">
        <f>C5+C6+C7+C8-C9</f>
        <v>162858.27000000005</v>
      </c>
    </row>
    <row r="11" spans="1:252" s="4" customFormat="1" ht="18.75" customHeight="1">
      <c r="A11" s="119" t="s">
        <v>107</v>
      </c>
      <c r="B11" s="1"/>
      <c r="C11" s="102">
        <f>C9</f>
        <v>212320.27</v>
      </c>
    </row>
    <row r="12" spans="1:252" s="2" customFormat="1">
      <c r="A12" s="97"/>
      <c r="B12" s="5"/>
      <c r="C12" s="103"/>
    </row>
    <row r="13" spans="1:252">
      <c r="A13" s="120" t="s">
        <v>108</v>
      </c>
      <c r="B13" s="1"/>
      <c r="C13" s="102">
        <v>224462.38</v>
      </c>
    </row>
    <row r="14" spans="1:252">
      <c r="A14" s="95" t="s">
        <v>6</v>
      </c>
      <c r="B14" s="1"/>
      <c r="C14" s="103"/>
    </row>
    <row r="15" spans="1:252">
      <c r="A15" s="95" t="s">
        <v>2</v>
      </c>
      <c r="B15" s="1"/>
      <c r="C15" s="103">
        <f>3.19*12*C3</f>
        <v>40733.748</v>
      </c>
    </row>
    <row r="16" spans="1:252" s="12" customFormat="1" ht="18" customHeight="1">
      <c r="A16" s="95" t="s">
        <v>1</v>
      </c>
      <c r="B16" s="1"/>
      <c r="C16" s="103">
        <v>53125.14</v>
      </c>
      <c r="IR16" s="4"/>
    </row>
    <row r="17" spans="1:252" s="12" customFormat="1" ht="15.75" customHeight="1">
      <c r="A17" s="112" t="s">
        <v>14</v>
      </c>
      <c r="B17" s="1"/>
      <c r="C17" s="103">
        <f>0.33*C3*12</f>
        <v>4213.8359999999993</v>
      </c>
      <c r="IR17" s="4"/>
    </row>
    <row r="18" spans="1:252" s="4" customFormat="1">
      <c r="A18" s="95" t="s">
        <v>7</v>
      </c>
      <c r="B18" s="1"/>
      <c r="C18" s="103">
        <v>4733.32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</row>
    <row r="19" spans="1:252" s="4" customFormat="1">
      <c r="A19" s="95" t="s">
        <v>12</v>
      </c>
      <c r="B19" s="1"/>
      <c r="C19" s="103">
        <f>0.01*9100*12*1.302*1.8</f>
        <v>2559.2112000000002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</row>
    <row r="20" spans="1:252" s="2" customFormat="1">
      <c r="A20" s="95" t="s">
        <v>9</v>
      </c>
      <c r="B20" s="1"/>
      <c r="C20" s="103">
        <v>123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2" s="2" customFormat="1">
      <c r="A21" s="95" t="s">
        <v>10</v>
      </c>
      <c r="B21" s="1"/>
      <c r="C21" s="103">
        <f>C20*110*1.302*1.8</f>
        <v>31708.908000000003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2" s="2" customFormat="1">
      <c r="A22" s="126" t="s">
        <v>75</v>
      </c>
      <c r="B22" s="1"/>
      <c r="C22" s="103">
        <v>1773.27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2" s="2" customFormat="1">
      <c r="A23" s="113" t="s">
        <v>76</v>
      </c>
      <c r="B23" s="1"/>
      <c r="C23" s="103">
        <v>1999.2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2" s="2" customFormat="1">
      <c r="A24" s="125" t="s">
        <v>115</v>
      </c>
      <c r="B24" s="1"/>
      <c r="C24" s="103">
        <v>284.32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2" s="2" customFormat="1">
      <c r="A25" s="95" t="s">
        <v>0</v>
      </c>
      <c r="B25" s="1"/>
      <c r="C25" s="103">
        <v>83331.42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2" s="2" customFormat="1" ht="15" customHeight="1">
      <c r="A26" s="126" t="s">
        <v>120</v>
      </c>
      <c r="B26" s="1"/>
      <c r="C26" s="103">
        <f>C11-C13</f>
        <v>-12142.110000000015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2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2" s="2" customFormat="1">
      <c r="A28" s="98" t="s">
        <v>11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</row>
    <row r="29" spans="1:252" s="2" customFormat="1">
      <c r="A29" s="4"/>
      <c r="B29" s="4"/>
      <c r="C29" s="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</row>
    <row r="30" spans="1:252" s="2" customFormat="1">
      <c r="A30" s="4"/>
      <c r="B30" s="30" t="e">
        <f>#REF!+C13</f>
        <v>#REF!</v>
      </c>
      <c r="C30" s="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</row>
    <row r="31" spans="1:252" s="2" customFormat="1">
      <c r="A31"/>
      <c r="B31" t="e">
        <f>B30/C13</f>
        <v>#REF!</v>
      </c>
      <c r="C31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</row>
    <row r="32" spans="1:252" s="2" customFormat="1">
      <c r="A32"/>
      <c r="B32"/>
      <c r="C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</row>
    <row r="33" spans="1:251" s="2" customFormat="1">
      <c r="A33"/>
      <c r="B33"/>
      <c r="C33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</row>
    <row r="34" spans="1:251" s="4" customFormat="1">
      <c r="A34"/>
      <c r="B34"/>
      <c r="C3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</row>
    <row r="35" spans="1:251" s="4" customFormat="1">
      <c r="A35"/>
      <c r="B35"/>
      <c r="C3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</row>
    <row r="36" spans="1:251" s="2" customFormat="1">
      <c r="A36"/>
      <c r="B36"/>
      <c r="C3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</row>
    <row r="37" spans="1:251" s="2" customFormat="1">
      <c r="A37"/>
      <c r="B37"/>
      <c r="C3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</row>
    <row r="38" spans="1:251" s="2" customFormat="1">
      <c r="A38"/>
      <c r="B38"/>
      <c r="C3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</row>
    <row r="39" spans="1:251" s="2" customFormat="1">
      <c r="A39"/>
      <c r="B39"/>
      <c r="C39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</row>
    <row r="40" spans="1:251" s="4" customFormat="1">
      <c r="A40"/>
      <c r="B40"/>
      <c r="C4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</row>
    <row r="41" spans="1:251" s="4" customFormat="1">
      <c r="A41"/>
      <c r="B41"/>
      <c r="C41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</row>
    <row r="42" spans="1:251" s="4" customFormat="1">
      <c r="A42"/>
      <c r="B42"/>
      <c r="C42"/>
    </row>
    <row r="43" spans="1:251" s="4" customFormat="1">
      <c r="A43"/>
      <c r="B43"/>
      <c r="C43"/>
    </row>
    <row r="44" spans="1:251" s="4" customFormat="1">
      <c r="A44"/>
      <c r="B44"/>
      <c r="C4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R28"/>
  <sheetViews>
    <sheetView zoomScaleNormal="100" workbookViewId="0">
      <selection activeCell="G15" sqref="G15"/>
    </sheetView>
  </sheetViews>
  <sheetFormatPr defaultRowHeight="15"/>
  <cols>
    <col min="1" max="1" width="73.85546875" customWidth="1"/>
    <col min="2" max="2" width="0.42578125" hidden="1" customWidth="1"/>
    <col min="3" max="3" width="16.42578125" customWidth="1"/>
  </cols>
  <sheetData>
    <row r="1" spans="1:252" s="4" customFormat="1">
      <c r="A1" s="6"/>
    </row>
    <row r="2" spans="1:252" s="12" customFormat="1" ht="40.5" customHeight="1">
      <c r="A2" s="145" t="s">
        <v>95</v>
      </c>
      <c r="B2" s="145"/>
      <c r="C2" s="145"/>
      <c r="IR2" s="4"/>
    </row>
    <row r="3" spans="1:252" s="92" customFormat="1" ht="43.5" customHeight="1">
      <c r="A3" s="7" t="s">
        <v>57</v>
      </c>
      <c r="B3" s="7" t="s">
        <v>58</v>
      </c>
      <c r="C3" s="77" t="s">
        <v>66</v>
      </c>
      <c r="IQ3" s="93"/>
    </row>
    <row r="4" spans="1:252" s="4" customFormat="1">
      <c r="A4" s="78" t="s">
        <v>3</v>
      </c>
      <c r="B4" s="2"/>
      <c r="C4" s="102">
        <v>571.01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pans="1:252" s="4" customFormat="1">
      <c r="A5" s="78" t="s">
        <v>4</v>
      </c>
      <c r="B5" s="2"/>
      <c r="C5" s="102">
        <v>20.51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2" s="2" customFormat="1">
      <c r="A6" s="122" t="s">
        <v>70</v>
      </c>
      <c r="C6" s="103">
        <v>167981.92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</row>
    <row r="7" spans="1:252" s="2" customFormat="1">
      <c r="A7" s="109" t="s">
        <v>35</v>
      </c>
      <c r="C7" s="103">
        <v>93691.199999999997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</row>
    <row r="8" spans="1:252" s="4" customFormat="1">
      <c r="A8" s="79" t="s">
        <v>51</v>
      </c>
      <c r="B8" s="2"/>
      <c r="C8" s="103">
        <v>13209.28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</row>
    <row r="9" spans="1:252" s="2" customFormat="1">
      <c r="A9" s="110" t="s">
        <v>69</v>
      </c>
      <c r="C9" s="103">
        <v>77061.820000000007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2" s="2" customFormat="1">
      <c r="A10" s="133" t="s">
        <v>122</v>
      </c>
      <c r="C10" s="103">
        <f>C6+C7+C8-C9</f>
        <v>197820.58000000002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2" s="2" customFormat="1" ht="18" customHeight="1">
      <c r="A11" s="119" t="s">
        <v>107</v>
      </c>
      <c r="C11" s="102">
        <f>C9</f>
        <v>77061.820000000007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2" s="4" customFormat="1">
      <c r="A12" s="59"/>
      <c r="C12" s="10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</row>
    <row r="13" spans="1:252" s="4" customFormat="1">
      <c r="A13" s="120" t="s">
        <v>108</v>
      </c>
      <c r="B13" s="2"/>
      <c r="C13" s="102">
        <v>98442.37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</row>
    <row r="14" spans="1:252" s="4" customFormat="1">
      <c r="A14" s="79" t="s">
        <v>6</v>
      </c>
      <c r="B14" s="2"/>
      <c r="C14" s="10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</row>
    <row r="15" spans="1:252" s="2" customFormat="1">
      <c r="A15" s="79" t="s">
        <v>2</v>
      </c>
      <c r="C15" s="103">
        <f>3.19*C4*8</f>
        <v>14572.1752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2" s="2" customFormat="1">
      <c r="A16" s="79" t="s">
        <v>1</v>
      </c>
      <c r="C16" s="103">
        <f>9*3.9*C4</f>
        <v>20042.451000000001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2" customFormat="1">
      <c r="A17" s="79" t="s">
        <v>14</v>
      </c>
      <c r="C17" s="103">
        <f>0.33*8*C4</f>
        <v>1507.4664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2" customFormat="1">
      <c r="A18" s="79" t="s">
        <v>7</v>
      </c>
      <c r="C18" s="103">
        <v>2345.65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2" customFormat="1">
      <c r="A19" s="79" t="s">
        <v>12</v>
      </c>
      <c r="C19" s="103">
        <f>0.01*9100*8*1.302</f>
        <v>947.85599999999999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s="2" customFormat="1">
      <c r="A20" s="79" t="s">
        <v>9</v>
      </c>
      <c r="C20" s="103">
        <v>67.5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s="2" customFormat="1">
      <c r="A21" s="79" t="s">
        <v>10</v>
      </c>
      <c r="C21" s="103">
        <f>C20*110*1.302</f>
        <v>9667.35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s="2" customFormat="1">
      <c r="A22" s="113" t="s">
        <v>75</v>
      </c>
      <c r="C22" s="103">
        <v>13209.28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s="2" customFormat="1">
      <c r="A23" s="125" t="s">
        <v>115</v>
      </c>
      <c r="C23" s="103">
        <v>682.02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s="2" customFormat="1">
      <c r="A24" s="79" t="s">
        <v>0</v>
      </c>
      <c r="C24" s="103">
        <v>35468.11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s="2" customFormat="1">
      <c r="A25" s="133" t="s">
        <v>121</v>
      </c>
      <c r="C25" s="103">
        <f>C11-C13</f>
        <v>-21380.549999999988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</row>
    <row r="27" spans="1:251" s="2" customFormat="1">
      <c r="A27" s="8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</row>
    <row r="28" spans="1:251" s="4" customFormat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28"/>
  <sheetViews>
    <sheetView zoomScaleNormal="100" workbookViewId="0">
      <selection activeCell="E21" sqref="E21"/>
    </sheetView>
  </sheetViews>
  <sheetFormatPr defaultRowHeight="15"/>
  <cols>
    <col min="1" max="1" width="77.140625" customWidth="1"/>
    <col min="2" max="2" width="16" customWidth="1"/>
  </cols>
  <sheetData>
    <row r="1" spans="1:248" s="12" customFormat="1" ht="43.5" customHeight="1">
      <c r="A1" s="121" t="s">
        <v>96</v>
      </c>
      <c r="B1" s="94"/>
      <c r="IJ1" s="4"/>
    </row>
    <row r="2" spans="1:248" s="92" customFormat="1" ht="43.5" customHeight="1">
      <c r="A2" s="7" t="s">
        <v>57</v>
      </c>
      <c r="B2" s="7" t="s">
        <v>66</v>
      </c>
      <c r="IN2" s="93"/>
    </row>
    <row r="3" spans="1:248" s="4" customFormat="1">
      <c r="A3" s="67" t="s">
        <v>13</v>
      </c>
      <c r="B3" s="128">
        <v>1256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</row>
    <row r="4" spans="1:248" s="4" customFormat="1">
      <c r="A4" s="11" t="s">
        <v>4</v>
      </c>
      <c r="B4" s="102">
        <v>20.51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48" s="2" customFormat="1">
      <c r="A5" s="10" t="s">
        <v>70</v>
      </c>
      <c r="B5" s="103">
        <v>91710.16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</row>
    <row r="6" spans="1:248" s="2" customFormat="1">
      <c r="A6" s="10" t="s">
        <v>35</v>
      </c>
      <c r="B6" s="103">
        <v>309126.96000000002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</row>
    <row r="7" spans="1:248" s="2" customFormat="1">
      <c r="A7" s="10" t="s">
        <v>51</v>
      </c>
      <c r="B7" s="103">
        <v>4714.08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</row>
    <row r="8" spans="1:248" s="4" customFormat="1">
      <c r="A8" s="10" t="s">
        <v>5</v>
      </c>
      <c r="B8" s="103">
        <v>4540.1400000000003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</row>
    <row r="9" spans="1:248" s="4" customFormat="1">
      <c r="A9" s="10" t="s">
        <v>39</v>
      </c>
      <c r="B9" s="103">
        <v>314627.45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</row>
    <row r="10" spans="1:248" s="4" customFormat="1">
      <c r="A10" s="10" t="s">
        <v>109</v>
      </c>
      <c r="B10" s="103">
        <f>B5+B6+B7+B8+-B9</f>
        <v>95463.890000000014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</row>
    <row r="11" spans="1:248" s="4" customFormat="1" ht="15" customHeight="1">
      <c r="A11" s="18" t="s">
        <v>107</v>
      </c>
      <c r="B11" s="102">
        <f>B9</f>
        <v>314627.45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pans="1:248" s="4" customFormat="1">
      <c r="A12" s="12"/>
      <c r="B12" s="108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</row>
    <row r="13" spans="1:248" s="4" customFormat="1">
      <c r="A13" s="11" t="s">
        <v>108</v>
      </c>
      <c r="B13" s="102">
        <f>B15+B16+B17+B18+B19+B21+B22+B23+B24+B25</f>
        <v>362758.17559999996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</row>
    <row r="14" spans="1:248" s="4" customFormat="1">
      <c r="A14" s="10" t="s">
        <v>6</v>
      </c>
      <c r="B14" s="10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</row>
    <row r="15" spans="1:248" s="2" customFormat="1">
      <c r="A15" s="10" t="s">
        <v>2</v>
      </c>
      <c r="B15" s="103">
        <f>3.19*12*B3</f>
        <v>48079.68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</row>
    <row r="16" spans="1:248" s="2" customFormat="1">
      <c r="A16" s="10" t="s">
        <v>14</v>
      </c>
      <c r="B16" s="103">
        <f>0.33*12*B3</f>
        <v>4973.76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</row>
    <row r="17" spans="1:243" s="2" customFormat="1">
      <c r="A17" s="10" t="s">
        <v>1</v>
      </c>
      <c r="B17" s="103">
        <v>105025.81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</row>
    <row r="18" spans="1:243" s="2" customFormat="1">
      <c r="A18" s="10" t="s">
        <v>7</v>
      </c>
      <c r="B18" s="103">
        <v>4792.5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</row>
    <row r="19" spans="1:243" s="2" customFormat="1">
      <c r="A19" s="10" t="s">
        <v>12</v>
      </c>
      <c r="B19" s="103">
        <f>0.02*9100*12*1.302*1.7</f>
        <v>4834.0655999999999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</row>
    <row r="20" spans="1:243" s="2" customFormat="1">
      <c r="A20" s="10" t="s">
        <v>9</v>
      </c>
      <c r="B20" s="103">
        <v>190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</row>
    <row r="21" spans="1:243" s="2" customFormat="1">
      <c r="A21" s="10" t="s">
        <v>10</v>
      </c>
      <c r="B21" s="103">
        <f>B20*130*1.302</f>
        <v>32159.4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</row>
    <row r="22" spans="1:243" s="2" customFormat="1">
      <c r="A22" s="10" t="s">
        <v>75</v>
      </c>
      <c r="B22" s="103">
        <v>4714.08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</row>
    <row r="23" spans="1:243" s="2" customFormat="1">
      <c r="A23" s="10" t="s">
        <v>76</v>
      </c>
      <c r="B23" s="103">
        <v>35041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</row>
    <row r="24" spans="1:243" s="2" customFormat="1">
      <c r="A24" s="10" t="s">
        <v>115</v>
      </c>
      <c r="B24" s="103">
        <v>2561.88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</row>
    <row r="25" spans="1:243" s="2" customFormat="1">
      <c r="A25" s="10" t="s">
        <v>52</v>
      </c>
      <c r="B25" s="103">
        <f>8*12*B3</f>
        <v>120576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</row>
    <row r="26" spans="1:243" s="4" customFormat="1">
      <c r="A26" s="19" t="s">
        <v>120</v>
      </c>
      <c r="B26" s="103">
        <f>B11-B13</f>
        <v>-48130.725599999947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</row>
    <row r="27" spans="1:243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</row>
    <row r="28" spans="1:243" s="4" customFormat="1">
      <c r="A28" s="76" t="s">
        <v>11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</row>
  </sheetData>
  <pageMargins left="0.31496062992125984" right="0.31496062992125984" top="0.74803149606299213" bottom="0.74803149606299213" header="0.31496062992125984" footer="0.31496062992125984"/>
  <pageSetup paperSize="9" fitToWidth="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P32"/>
  <sheetViews>
    <sheetView zoomScaleNormal="100" workbookViewId="0">
      <selection activeCell="A27" sqref="A27"/>
    </sheetView>
  </sheetViews>
  <sheetFormatPr defaultRowHeight="15"/>
  <cols>
    <col min="1" max="1" width="74" customWidth="1"/>
    <col min="2" max="2" width="13.7109375" customWidth="1"/>
    <col min="3" max="3" width="0.140625" customWidth="1"/>
  </cols>
  <sheetData>
    <row r="1" spans="1:250" s="3" customFormat="1" ht="16.5" customHeight="1">
      <c r="A1" s="53"/>
    </row>
    <row r="2" spans="1:250" s="12" customFormat="1" ht="43.5" customHeight="1">
      <c r="A2" s="143" t="s">
        <v>79</v>
      </c>
      <c r="B2" s="143"/>
      <c r="C2" s="143"/>
      <c r="IP2" s="4"/>
    </row>
    <row r="3" spans="1:250" s="12" customFormat="1" ht="47.25" customHeight="1">
      <c r="A3" s="88" t="s">
        <v>56</v>
      </c>
      <c r="B3" s="91" t="s">
        <v>66</v>
      </c>
      <c r="C3" s="27" t="s">
        <v>36</v>
      </c>
      <c r="IP3" s="4"/>
    </row>
    <row r="4" spans="1:250" s="4" customFormat="1">
      <c r="A4" s="55" t="s">
        <v>50</v>
      </c>
      <c r="B4" s="129">
        <v>1236.4000000000001</v>
      </c>
      <c r="C4" s="1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</row>
    <row r="5" spans="1:250" s="2" customFormat="1">
      <c r="A5" s="55" t="s">
        <v>4</v>
      </c>
      <c r="B5" s="104">
        <v>35.69</v>
      </c>
      <c r="C5" s="10" t="e">
        <f>C16+C18+C19+#REF!+C20+C21+C23+C26+#REF!</f>
        <v>#REF!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</row>
    <row r="6" spans="1:250" s="2" customFormat="1">
      <c r="A6" s="118" t="s">
        <v>70</v>
      </c>
      <c r="B6" s="105">
        <v>100531.15</v>
      </c>
      <c r="C6" s="10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</row>
    <row r="7" spans="1:250" s="2" customFormat="1">
      <c r="A7" s="54" t="s">
        <v>35</v>
      </c>
      <c r="B7" s="105">
        <v>529525.92000000004</v>
      </c>
      <c r="C7" s="10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</row>
    <row r="8" spans="1:250" s="2" customFormat="1">
      <c r="A8" s="123" t="s">
        <v>51</v>
      </c>
      <c r="B8" s="105">
        <v>3843</v>
      </c>
      <c r="C8" s="1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spans="1:250" s="2" customFormat="1">
      <c r="A9" s="126" t="s">
        <v>112</v>
      </c>
      <c r="B9" s="105">
        <v>50000</v>
      </c>
      <c r="C9" s="1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spans="1:250" s="2" customFormat="1">
      <c r="A10" s="110" t="s">
        <v>69</v>
      </c>
      <c r="B10" s="105">
        <v>571791.11</v>
      </c>
      <c r="C10" s="10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</row>
    <row r="11" spans="1:250" s="2" customFormat="1">
      <c r="A11" s="118" t="s">
        <v>109</v>
      </c>
      <c r="B11" s="105">
        <f>B6+B7+B8+B9-B10</f>
        <v>112108.96000000008</v>
      </c>
      <c r="C11" s="10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spans="1:250" s="2" customFormat="1" ht="16.5" customHeight="1">
      <c r="A12" s="119" t="s">
        <v>107</v>
      </c>
      <c r="B12" s="104">
        <f>B10</f>
        <v>571791.11</v>
      </c>
      <c r="C12" s="10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50" s="4" customFormat="1">
      <c r="A13" s="26"/>
      <c r="B13" s="108"/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</row>
    <row r="14" spans="1:250" s="4" customFormat="1">
      <c r="A14" s="120" t="s">
        <v>108</v>
      </c>
      <c r="B14" s="104">
        <v>518482.83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</row>
    <row r="15" spans="1:250" s="4" customFormat="1">
      <c r="A15" s="54" t="s">
        <v>6</v>
      </c>
      <c r="B15" s="105"/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</row>
    <row r="16" spans="1:250" s="2" customFormat="1">
      <c r="A16" s="54" t="s">
        <v>2</v>
      </c>
      <c r="B16" s="105">
        <f>1.28*B4*12</f>
        <v>18991.103999999999</v>
      </c>
      <c r="C16" s="10">
        <f>ROUND(B16/B4/12,2)</f>
        <v>1.28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49" s="2" customFormat="1">
      <c r="A17" s="54" t="s">
        <v>37</v>
      </c>
      <c r="B17" s="105">
        <v>187613</v>
      </c>
      <c r="C17" s="10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49" s="2" customFormat="1">
      <c r="A18" s="54" t="s">
        <v>1</v>
      </c>
      <c r="B18" s="105">
        <v>58945.14</v>
      </c>
      <c r="C18" s="10">
        <f>ROUND(B18/B4/12,2)</f>
        <v>3.97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49" s="2" customFormat="1">
      <c r="A19" s="54" t="s">
        <v>14</v>
      </c>
      <c r="B19" s="105">
        <f>0.33*B4*12*1.19</f>
        <v>5826.4113600000001</v>
      </c>
      <c r="C19" s="10">
        <f>ROUND(B19/B4/12,2)</f>
        <v>0.39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spans="1:249" s="2" customFormat="1">
      <c r="A20" s="54" t="s">
        <v>7</v>
      </c>
      <c r="B20" s="105">
        <v>16548.5</v>
      </c>
      <c r="C20" s="10">
        <f>ROUND(B20/B4/12,2)</f>
        <v>1.1200000000000001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49" s="2" customFormat="1">
      <c r="A21" s="54" t="s">
        <v>38</v>
      </c>
      <c r="B21" s="105">
        <f>0.25*9100*12*1.302*1.19*1.13</f>
        <v>47796.823619999988</v>
      </c>
      <c r="C21" s="10">
        <f>ROUND(B21/B4/12,2)</f>
        <v>3.22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spans="1:249" s="2" customFormat="1">
      <c r="A22" s="54" t="s">
        <v>9</v>
      </c>
      <c r="B22" s="105">
        <v>426</v>
      </c>
      <c r="C22" s="10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49" s="2" customFormat="1">
      <c r="A23" s="54" t="s">
        <v>10</v>
      </c>
      <c r="B23" s="105">
        <f>B22*110*1.302*1.19</f>
        <v>72603.946800000005</v>
      </c>
      <c r="C23" s="10">
        <f>ROUND(B23/B4/12,2)</f>
        <v>4.8899999999999997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</row>
    <row r="24" spans="1:249" s="2" customFormat="1">
      <c r="A24" s="126" t="s">
        <v>116</v>
      </c>
      <c r="B24" s="105">
        <v>50000</v>
      </c>
      <c r="C24" s="1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</row>
    <row r="25" spans="1:249" s="2" customFormat="1">
      <c r="A25" s="113" t="s">
        <v>75</v>
      </c>
      <c r="B25" s="105">
        <v>3843</v>
      </c>
      <c r="C25" s="10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49" s="2" customFormat="1">
      <c r="A26" s="125" t="s">
        <v>115</v>
      </c>
      <c r="B26" s="105">
        <v>56314.91</v>
      </c>
      <c r="C26" s="10">
        <f>ROUND(B26/B4/12,2)</f>
        <v>3.8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 s="2" customFormat="1">
      <c r="A27" s="132" t="s">
        <v>70</v>
      </c>
      <c r="B27" s="105">
        <v>100531.15</v>
      </c>
      <c r="C27" s="10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 s="4" customFormat="1">
      <c r="A28" s="126" t="s">
        <v>120</v>
      </c>
      <c r="B28" s="105">
        <f>B12-B14-B27</f>
        <v>-47222.870000000024</v>
      </c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</row>
    <row r="29" spans="1:249" s="4" customFormat="1">
      <c r="A29" s="17"/>
      <c r="B29" s="1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</row>
    <row r="30" spans="1:249" s="4" customFormat="1">
      <c r="A30" s="29" t="s">
        <v>11</v>
      </c>
      <c r="B30" s="17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</row>
    <row r="31" spans="1:249" s="4" customFormat="1"/>
    <row r="32" spans="1:249" s="4" customFormat="1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Q29"/>
  <sheetViews>
    <sheetView zoomScaleNormal="100" workbookViewId="0">
      <selection activeCell="E16" sqref="E16"/>
    </sheetView>
  </sheetViews>
  <sheetFormatPr defaultRowHeight="15"/>
  <cols>
    <col min="1" max="1" width="74.140625" customWidth="1"/>
    <col min="2" max="2" width="15.140625" customWidth="1"/>
  </cols>
  <sheetData>
    <row r="1" spans="1:251" s="9" customFormat="1" ht="43.5" customHeight="1">
      <c r="A1" s="143" t="s">
        <v>97</v>
      </c>
      <c r="B1" s="143"/>
      <c r="C1" s="12"/>
      <c r="IQ1"/>
    </row>
    <row r="2" spans="1:251" s="92" customFormat="1" ht="43.5" customHeight="1">
      <c r="A2" s="7" t="s">
        <v>57</v>
      </c>
      <c r="B2" s="7" t="s">
        <v>66</v>
      </c>
      <c r="IM2" s="93"/>
    </row>
    <row r="3" spans="1:251" s="2" customFormat="1" ht="24" customHeight="1">
      <c r="A3" s="78" t="s">
        <v>13</v>
      </c>
      <c r="B3" s="102">
        <v>1031.3</v>
      </c>
      <c r="C3" s="1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</row>
    <row r="4" spans="1:251" s="2" customFormat="1">
      <c r="A4" s="78" t="s">
        <v>4</v>
      </c>
      <c r="B4" s="102">
        <v>17.829999999999998</v>
      </c>
      <c r="C4" s="12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</row>
    <row r="5" spans="1:251" s="2" customFormat="1">
      <c r="A5" s="122" t="s">
        <v>70</v>
      </c>
      <c r="B5" s="103">
        <v>23929.200000000001</v>
      </c>
      <c r="C5" s="1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</row>
    <row r="6" spans="1:251" s="2" customFormat="1">
      <c r="A6" s="79" t="s">
        <v>35</v>
      </c>
      <c r="B6" s="103">
        <v>147104.79999999999</v>
      </c>
      <c r="C6" s="1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</row>
    <row r="7" spans="1:251" s="2" customFormat="1">
      <c r="A7" s="109" t="s">
        <v>51</v>
      </c>
      <c r="B7" s="103">
        <v>28787.119999999999</v>
      </c>
      <c r="C7" s="1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</row>
    <row r="8" spans="1:251" s="2" customFormat="1">
      <c r="A8" s="109" t="s">
        <v>5</v>
      </c>
      <c r="B8" s="103">
        <v>9965.42</v>
      </c>
      <c r="C8" s="1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</row>
    <row r="9" spans="1:251" s="2" customFormat="1">
      <c r="A9" s="109" t="s">
        <v>69</v>
      </c>
      <c r="B9" s="103">
        <v>200638.2</v>
      </c>
      <c r="C9" s="1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</row>
    <row r="10" spans="1:251" s="2" customFormat="1">
      <c r="A10" s="133" t="s">
        <v>122</v>
      </c>
      <c r="B10" s="103">
        <v>9862.2199999999993</v>
      </c>
      <c r="C10" s="1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</row>
    <row r="11" spans="1:251" s="2" customFormat="1" ht="24.75" customHeight="1">
      <c r="A11" s="119" t="s">
        <v>107</v>
      </c>
      <c r="B11" s="102">
        <f>B9</f>
        <v>200638.2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spans="1:251">
      <c r="A12" s="26"/>
      <c r="B12" s="103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</row>
    <row r="13" spans="1:251" s="2" customFormat="1">
      <c r="A13" s="120" t="s">
        <v>108</v>
      </c>
      <c r="B13" s="102">
        <f>B15+B16+B17+B18+B19+B21+B22+B23+B24+B25</f>
        <v>177373.878</v>
      </c>
      <c r="C13" s="1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</row>
    <row r="14" spans="1:251" s="2" customFormat="1">
      <c r="A14" s="79" t="s">
        <v>6</v>
      </c>
      <c r="B14" s="103"/>
      <c r="C14" s="1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</row>
    <row r="15" spans="1:251" s="2" customFormat="1">
      <c r="A15" s="79" t="s">
        <v>2</v>
      </c>
      <c r="B15" s="103">
        <f>3.19*B3*8</f>
        <v>26318.775999999998</v>
      </c>
      <c r="C15" s="1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spans="1:251" s="2" customFormat="1">
      <c r="A16" s="79" t="s">
        <v>1</v>
      </c>
      <c r="B16" s="103">
        <v>42568.12</v>
      </c>
      <c r="C16" s="1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49" s="2" customFormat="1">
      <c r="A17" s="79" t="s">
        <v>14</v>
      </c>
      <c r="B17" s="103">
        <f>0.33*8*B3</f>
        <v>2722.6320000000001</v>
      </c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49" s="2" customFormat="1">
      <c r="A18" s="79" t="s">
        <v>7</v>
      </c>
      <c r="B18" s="103">
        <v>4675.8900000000003</v>
      </c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49" s="2" customFormat="1">
      <c r="A19" s="79" t="s">
        <v>12</v>
      </c>
      <c r="B19" s="103">
        <v>674.25</v>
      </c>
      <c r="C19" s="1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spans="1:249" s="2" customFormat="1">
      <c r="A20" s="79" t="s">
        <v>9</v>
      </c>
      <c r="B20" s="103">
        <v>59.5</v>
      </c>
      <c r="C20" s="1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49" s="2" customFormat="1">
      <c r="A21" s="79" t="s">
        <v>10</v>
      </c>
      <c r="B21" s="103">
        <v>14845.62</v>
      </c>
      <c r="C21" s="1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spans="1:249" s="2" customFormat="1">
      <c r="A22" s="113" t="s">
        <v>75</v>
      </c>
      <c r="B22" s="103">
        <v>28787.119999999999</v>
      </c>
      <c r="C22" s="1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49" s="2" customFormat="1">
      <c r="A23" s="113" t="s">
        <v>76</v>
      </c>
      <c r="B23" s="103">
        <v>5038.8999999999996</v>
      </c>
      <c r="C23" s="1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</row>
    <row r="24" spans="1:249" s="2" customFormat="1">
      <c r="A24" s="125" t="s">
        <v>115</v>
      </c>
      <c r="B24" s="103">
        <v>494.25</v>
      </c>
      <c r="C24" s="1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</row>
    <row r="25" spans="1:249" s="2" customFormat="1">
      <c r="A25" s="79" t="s">
        <v>0</v>
      </c>
      <c r="B25" s="103">
        <v>51248.32</v>
      </c>
      <c r="C25" s="1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49" s="2" customFormat="1">
      <c r="A26" s="126" t="s">
        <v>70</v>
      </c>
      <c r="B26" s="103">
        <f>B5</f>
        <v>23929.200000000001</v>
      </c>
      <c r="C26" s="1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</row>
    <row r="27" spans="1:249" s="2" customFormat="1">
      <c r="A27" s="133" t="s">
        <v>121</v>
      </c>
      <c r="B27" s="103">
        <f>B11-B13-B26</f>
        <v>-664.87799999998606</v>
      </c>
      <c r="C27" s="1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49">
      <c r="A28" s="4"/>
      <c r="B28" s="4"/>
      <c r="C28" s="4"/>
    </row>
    <row r="29" spans="1:249" s="4" customFormat="1">
      <c r="A29" s="89" t="s">
        <v>11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O29"/>
  <sheetViews>
    <sheetView view="pageBreakPreview" zoomScale="60" zoomScaleNormal="100" workbookViewId="0">
      <selection activeCell="G11" sqref="G11"/>
    </sheetView>
  </sheetViews>
  <sheetFormatPr defaultRowHeight="15"/>
  <cols>
    <col min="1" max="1" width="74.140625" customWidth="1"/>
    <col min="2" max="2" width="15.7109375" customWidth="1"/>
  </cols>
  <sheetData>
    <row r="1" spans="1:249" s="12" customFormat="1" ht="43.5" customHeight="1">
      <c r="A1" s="143" t="s">
        <v>98</v>
      </c>
      <c r="B1" s="143"/>
      <c r="IO1" s="4"/>
    </row>
    <row r="2" spans="1:249" s="92" customFormat="1" ht="43.5" customHeight="1">
      <c r="A2" s="7" t="s">
        <v>57</v>
      </c>
      <c r="B2" s="7" t="s">
        <v>66</v>
      </c>
      <c r="IM2" s="93"/>
    </row>
    <row r="3" spans="1:249" s="4" customFormat="1" ht="24" customHeight="1">
      <c r="A3" s="78" t="s">
        <v>13</v>
      </c>
      <c r="B3" s="102">
        <v>1600.2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</row>
    <row r="4" spans="1:249" s="4" customFormat="1">
      <c r="A4" s="78" t="s">
        <v>4</v>
      </c>
      <c r="B4" s="102">
        <v>17.829999999999998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</row>
    <row r="5" spans="1:249" s="4" customFormat="1">
      <c r="A5" s="82" t="s">
        <v>70</v>
      </c>
      <c r="B5" s="131">
        <v>69740.45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</row>
    <row r="6" spans="1:249" s="4" customFormat="1">
      <c r="A6" s="79" t="s">
        <v>35</v>
      </c>
      <c r="B6" s="103">
        <v>342379.08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</row>
    <row r="7" spans="1:249" s="4" customFormat="1">
      <c r="A7" s="109" t="s">
        <v>51</v>
      </c>
      <c r="B7" s="103">
        <v>5398.5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</row>
    <row r="8" spans="1:249" s="4" customFormat="1">
      <c r="A8" s="124" t="s">
        <v>5</v>
      </c>
      <c r="B8" s="103">
        <v>5408.16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</row>
    <row r="9" spans="1:249" s="4" customFormat="1">
      <c r="A9" s="109" t="s">
        <v>39</v>
      </c>
      <c r="B9" s="103">
        <v>382237.77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</row>
    <row r="10" spans="1:249" s="4" customFormat="1">
      <c r="A10" s="122" t="s">
        <v>109</v>
      </c>
      <c r="B10" s="103">
        <f>B5+B6+B7+B8-B9</f>
        <v>40688.419999999984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</row>
    <row r="11" spans="1:249" s="4" customFormat="1" ht="21" customHeight="1">
      <c r="A11" s="119" t="s">
        <v>107</v>
      </c>
      <c r="B11" s="102">
        <f>B9</f>
        <v>382237.77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9" s="4" customFormat="1">
      <c r="A12" s="57"/>
      <c r="B12" s="10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9" s="4" customFormat="1">
      <c r="A13" s="120" t="s">
        <v>108</v>
      </c>
      <c r="B13" s="102">
        <f>B15+B16+B17+B18+B19+B21+B22+B23+B24+B25</f>
        <v>411735.58799999999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</row>
    <row r="14" spans="1:249" s="4" customFormat="1">
      <c r="A14" s="79" t="s">
        <v>6</v>
      </c>
      <c r="B14" s="10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</row>
    <row r="15" spans="1:249" s="4" customFormat="1">
      <c r="A15" s="79" t="s">
        <v>2</v>
      </c>
      <c r="B15" s="103">
        <f>3.19*12*B3</f>
        <v>61255.656000000003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</row>
    <row r="16" spans="1:249" s="4" customFormat="1">
      <c r="A16" s="79" t="s">
        <v>1</v>
      </c>
      <c r="B16" s="103">
        <v>75124.63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</row>
    <row r="17" spans="1:247" s="4" customFormat="1">
      <c r="A17" s="79" t="s">
        <v>14</v>
      </c>
      <c r="B17" s="103">
        <f>0.33*12*B3</f>
        <v>6336.7920000000004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</row>
    <row r="18" spans="1:247" s="4" customFormat="1">
      <c r="A18" s="79" t="s">
        <v>7</v>
      </c>
      <c r="B18" s="103">
        <v>10050.299999999999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</row>
    <row r="19" spans="1:247" s="4" customFormat="1">
      <c r="A19" s="79" t="s">
        <v>12</v>
      </c>
      <c r="B19" s="103">
        <v>6582.45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</row>
    <row r="20" spans="1:247" s="4" customFormat="1">
      <c r="A20" s="79" t="s">
        <v>9</v>
      </c>
      <c r="B20" s="103">
        <v>327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</row>
    <row r="21" spans="1:247" s="4" customFormat="1">
      <c r="A21" s="79" t="s">
        <v>10</v>
      </c>
      <c r="B21" s="103">
        <f>B20*130*1.302</f>
        <v>55348.020000000004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</row>
    <row r="22" spans="1:247" s="4" customFormat="1">
      <c r="A22" s="113" t="s">
        <v>75</v>
      </c>
      <c r="B22" s="103">
        <v>5398.5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</row>
    <row r="23" spans="1:247" s="4" customFormat="1">
      <c r="A23" s="113" t="s">
        <v>76</v>
      </c>
      <c r="B23" s="103">
        <v>38543.300000000003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</row>
    <row r="24" spans="1:247" s="4" customFormat="1">
      <c r="A24" s="79" t="s">
        <v>0</v>
      </c>
      <c r="B24" s="103">
        <f>7.5*12*B3</f>
        <v>144018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247" s="4" customFormat="1">
      <c r="A25" s="125" t="s">
        <v>115</v>
      </c>
      <c r="B25" s="103">
        <v>9077.94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</row>
    <row r="26" spans="1:247" s="2" customFormat="1">
      <c r="A26" s="126" t="s">
        <v>120</v>
      </c>
      <c r="B26" s="103">
        <f>B11-B13</f>
        <v>-29497.81799999997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</row>
    <row r="27" spans="1:247" s="4" customFormat="1"/>
    <row r="28" spans="1:247" s="4" customFormat="1">
      <c r="A28" s="89" t="s">
        <v>11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</row>
    <row r="29" spans="1:247">
      <c r="D29" t="s">
        <v>55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30"/>
  <sheetViews>
    <sheetView zoomScaleNormal="100" workbookViewId="0">
      <selection activeCell="F8" sqref="F8"/>
    </sheetView>
  </sheetViews>
  <sheetFormatPr defaultRowHeight="15"/>
  <cols>
    <col min="1" max="1" width="70.28515625" customWidth="1"/>
    <col min="2" max="2" width="15.7109375" customWidth="1"/>
  </cols>
  <sheetData>
    <row r="1" spans="1:252" s="9" customFormat="1" ht="43.5" customHeight="1">
      <c r="A1" s="143" t="s">
        <v>99</v>
      </c>
      <c r="B1" s="143"/>
      <c r="C1" s="12"/>
      <c r="D1" s="12"/>
      <c r="IR1"/>
    </row>
    <row r="2" spans="1:252" s="92" customFormat="1" ht="43.5" customHeight="1">
      <c r="A2" s="7" t="s">
        <v>57</v>
      </c>
      <c r="B2" s="7" t="s">
        <v>66</v>
      </c>
      <c r="IM2" s="93"/>
    </row>
    <row r="3" spans="1:252">
      <c r="A3" s="22" t="s">
        <v>3</v>
      </c>
      <c r="B3" s="102">
        <v>2359.5</v>
      </c>
      <c r="C3" s="12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</row>
    <row r="4" spans="1:252">
      <c r="A4" s="22" t="s">
        <v>4</v>
      </c>
      <c r="B4" s="102">
        <v>22.62</v>
      </c>
      <c r="C4" s="12"/>
      <c r="D4" s="12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</row>
    <row r="5" spans="1:252">
      <c r="A5" s="23" t="s">
        <v>70</v>
      </c>
      <c r="B5" s="103">
        <v>307769.67</v>
      </c>
      <c r="C5" s="12"/>
      <c r="D5" s="12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2">
      <c r="A6" s="23" t="s">
        <v>35</v>
      </c>
      <c r="B6" s="103">
        <v>640530.54</v>
      </c>
      <c r="C6" s="12"/>
      <c r="D6" s="12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2">
      <c r="A7" s="23" t="s">
        <v>48</v>
      </c>
      <c r="B7" s="103">
        <v>28553.49</v>
      </c>
      <c r="C7" s="12"/>
      <c r="D7" s="12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2">
      <c r="A8" s="23" t="s">
        <v>5</v>
      </c>
      <c r="B8" s="103">
        <v>273.45999999999998</v>
      </c>
      <c r="C8" s="12"/>
      <c r="D8" s="1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</row>
    <row r="9" spans="1:252">
      <c r="A9" s="23" t="s">
        <v>113</v>
      </c>
      <c r="B9" s="103">
        <v>9650.34</v>
      </c>
      <c r="C9" s="12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</row>
    <row r="10" spans="1:252">
      <c r="A10" s="23" t="s">
        <v>39</v>
      </c>
      <c r="B10" s="103">
        <v>735640.62</v>
      </c>
      <c r="C10" s="12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</row>
    <row r="11" spans="1:252">
      <c r="A11" s="23" t="s">
        <v>109</v>
      </c>
      <c r="B11" s="103">
        <v>250057.22</v>
      </c>
      <c r="C11" s="12"/>
      <c r="D11" s="12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</row>
    <row r="12" spans="1:252" ht="22.5" customHeight="1">
      <c r="A12" s="69" t="s">
        <v>107</v>
      </c>
      <c r="B12" s="102">
        <f>B10</f>
        <v>735640.62</v>
      </c>
      <c r="C12" s="12"/>
      <c r="D12" s="1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</row>
    <row r="13" spans="1:252">
      <c r="A13" s="12"/>
      <c r="B13" s="103"/>
      <c r="C13" s="12"/>
      <c r="D13" s="12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</row>
    <row r="14" spans="1:252">
      <c r="A14" s="22" t="s">
        <v>108</v>
      </c>
      <c r="B14" s="102">
        <v>598312.81999999995</v>
      </c>
      <c r="C14" s="12"/>
      <c r="D14" s="1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</row>
    <row r="15" spans="1:252">
      <c r="A15" s="23" t="s">
        <v>6</v>
      </c>
      <c r="B15" s="103"/>
      <c r="C15" s="12"/>
      <c r="D15" s="1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</row>
    <row r="16" spans="1:252" s="2" customFormat="1">
      <c r="A16" s="23" t="s">
        <v>2</v>
      </c>
      <c r="B16" s="103">
        <f>B3*3.19*12*1.2</f>
        <v>108385.992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2" customFormat="1">
      <c r="A17" s="23" t="s">
        <v>14</v>
      </c>
      <c r="B17" s="103">
        <f>0.33*12*B3*1.2</f>
        <v>11212.344000000001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2" customFormat="1">
      <c r="A18" s="23" t="s">
        <v>1</v>
      </c>
      <c r="B18" s="103">
        <f>3.8*12*B3</f>
        <v>107593.19999999998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2" customFormat="1">
      <c r="A19" s="23" t="s">
        <v>8</v>
      </c>
      <c r="B19" s="103">
        <f>0.9*9100*13*1.302*1.6</f>
        <v>221798.304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>
      <c r="A20" s="23" t="s">
        <v>9</v>
      </c>
      <c r="B20" s="103">
        <v>310</v>
      </c>
      <c r="C20" s="12"/>
      <c r="D20" s="1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</row>
    <row r="21" spans="1:251">
      <c r="A21" s="23" t="s">
        <v>10</v>
      </c>
      <c r="B21" s="103">
        <f>B20*130*1.302*1.7</f>
        <v>89200.01999999999</v>
      </c>
      <c r="C21" s="12"/>
      <c r="D21" s="1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</row>
    <row r="22" spans="1:251">
      <c r="A22" s="23" t="s">
        <v>76</v>
      </c>
      <c r="B22" s="103">
        <v>4256.78</v>
      </c>
      <c r="C22" s="12"/>
      <c r="D22" s="1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</row>
    <row r="23" spans="1:251" s="2" customFormat="1">
      <c r="A23" s="23" t="s">
        <v>75</v>
      </c>
      <c r="B23" s="103">
        <v>28553.49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s="2" customFormat="1">
      <c r="A24" s="23" t="s">
        <v>117</v>
      </c>
      <c r="B24" s="103">
        <v>9650.34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s="2" customFormat="1">
      <c r="A25" s="23" t="s">
        <v>115</v>
      </c>
      <c r="B25" s="103">
        <v>17662.36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s="2" customFormat="1">
      <c r="A26" s="23" t="s">
        <v>70</v>
      </c>
      <c r="B26" s="103">
        <f>B5</f>
        <v>307769.67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s="4" customFormat="1">
      <c r="A27" s="127" t="s">
        <v>120</v>
      </c>
      <c r="B27" s="103">
        <f>B12-B14-B26</f>
        <v>-170441.86999999994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spans="1:251" s="4" customFormat="1">
      <c r="A28" s="52"/>
      <c r="B28" s="5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spans="1:251" s="2" customFormat="1">
      <c r="A29" s="89" t="s">
        <v>11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</row>
    <row r="30" spans="1:251">
      <c r="A30" s="4"/>
      <c r="B30" s="4"/>
      <c r="C30" s="4"/>
      <c r="D30" s="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zoomScaleNormal="100" workbookViewId="0">
      <selection activeCell="F30" sqref="F30"/>
    </sheetView>
  </sheetViews>
  <sheetFormatPr defaultRowHeight="15"/>
  <cols>
    <col min="1" max="1" width="77.140625" customWidth="1"/>
    <col min="2" max="2" width="15.5703125" customWidth="1"/>
  </cols>
  <sheetData>
    <row r="1" spans="1:252" s="12" customFormat="1" ht="43.5" customHeight="1">
      <c r="A1" s="143" t="s">
        <v>100</v>
      </c>
      <c r="B1" s="143"/>
      <c r="IR1" s="4"/>
    </row>
    <row r="2" spans="1:252" s="92" customFormat="1" ht="43.5" customHeight="1">
      <c r="A2" s="7" t="s">
        <v>57</v>
      </c>
      <c r="B2" s="7" t="s">
        <v>66</v>
      </c>
      <c r="IM2" s="93"/>
    </row>
    <row r="3" spans="1:252" s="4" customFormat="1">
      <c r="A3" s="22" t="s">
        <v>3</v>
      </c>
      <c r="B3" s="102">
        <v>3244.08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pans="1:252" s="4" customFormat="1">
      <c r="A4" s="22" t="s">
        <v>4</v>
      </c>
      <c r="B4" s="102">
        <v>21.83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pans="1:252" s="2" customFormat="1">
      <c r="A5" s="23" t="s">
        <v>70</v>
      </c>
      <c r="B5" s="103">
        <v>143932.79999999999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</row>
    <row r="6" spans="1:252" s="2" customFormat="1">
      <c r="A6" s="23" t="s">
        <v>35</v>
      </c>
      <c r="B6" s="103">
        <v>849039.46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</row>
    <row r="7" spans="1:252" s="4" customFormat="1">
      <c r="A7" s="23" t="s">
        <v>48</v>
      </c>
      <c r="B7" s="103">
        <v>40994.26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</row>
    <row r="8" spans="1:252" s="4" customFormat="1">
      <c r="A8" s="23" t="s">
        <v>5</v>
      </c>
      <c r="B8" s="103">
        <v>5399.02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</row>
    <row r="9" spans="1:252" s="4" customFormat="1">
      <c r="A9" s="23" t="s">
        <v>113</v>
      </c>
      <c r="B9" s="103">
        <v>9654.9599999999991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</row>
    <row r="10" spans="1:252" s="4" customFormat="1">
      <c r="A10" s="23" t="s">
        <v>39</v>
      </c>
      <c r="B10" s="103">
        <v>887204.04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</row>
    <row r="11" spans="1:252" s="4" customFormat="1">
      <c r="A11" s="23" t="s">
        <v>109</v>
      </c>
      <c r="B11" s="103">
        <v>154875.38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</row>
    <row r="12" spans="1:252" s="4" customFormat="1" ht="20.25" customHeight="1">
      <c r="A12" s="69" t="s">
        <v>107</v>
      </c>
      <c r="B12" s="102">
        <f>B10</f>
        <v>887204.04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</row>
    <row r="13" spans="1:252" s="4" customFormat="1" ht="17.25" customHeight="1">
      <c r="A13" s="12"/>
      <c r="B13" s="10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</row>
    <row r="14" spans="1:252" s="4" customFormat="1">
      <c r="A14" s="22" t="s">
        <v>108</v>
      </c>
      <c r="B14" s="102">
        <v>872051.35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</row>
    <row r="15" spans="1:252" s="2" customFormat="1">
      <c r="A15" s="23" t="s">
        <v>6</v>
      </c>
      <c r="B15" s="10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2" s="2" customFormat="1">
      <c r="A16" s="23" t="s">
        <v>2</v>
      </c>
      <c r="B16" s="103">
        <f>3.19*12*B3</f>
        <v>124183.3824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2" customFormat="1">
      <c r="A17" s="23" t="s">
        <v>14</v>
      </c>
      <c r="B17" s="103">
        <f>0.33*12*B3</f>
        <v>12846.5568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2" customFormat="1">
      <c r="A18" s="23" t="s">
        <v>1</v>
      </c>
      <c r="B18" s="103">
        <f>5.4*12*B3</f>
        <v>210216.38400000002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2" customFormat="1">
      <c r="A19" s="23" t="s">
        <v>8</v>
      </c>
      <c r="B19" s="103">
        <f>0.9*9100*13*1.302*1.45</f>
        <v>201004.71299999999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s="2" customFormat="1">
      <c r="A20" s="23" t="s">
        <v>9</v>
      </c>
      <c r="B20" s="103">
        <v>500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s="2" customFormat="1">
      <c r="A21" s="23" t="s">
        <v>10</v>
      </c>
      <c r="B21" s="103">
        <f>B20*130*1.302*1.4*1.8</f>
        <v>213267.59999999998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s="2" customFormat="1">
      <c r="A22" s="23" t="s">
        <v>75</v>
      </c>
      <c r="B22" s="103">
        <v>40994.26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s="2" customFormat="1">
      <c r="A23" s="23" t="s">
        <v>76</v>
      </c>
      <c r="B23" s="103">
        <v>16843.2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</row>
    <row r="24" spans="1:251" s="2" customFormat="1">
      <c r="A24" s="23" t="s">
        <v>117</v>
      </c>
      <c r="B24" s="103">
        <v>9654.9599999999991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s="2" customFormat="1">
      <c r="A25" s="23" t="s">
        <v>115</v>
      </c>
      <c r="B25" s="103">
        <v>43040.3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s="2" customFormat="1">
      <c r="A26" s="23" t="s">
        <v>70</v>
      </c>
      <c r="B26" s="103">
        <f>B5</f>
        <v>143932.79999999999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s="2" customFormat="1">
      <c r="A27" s="127" t="s">
        <v>120</v>
      </c>
      <c r="B27" s="103">
        <f>B12-B14-B26</f>
        <v>-128780.10999999993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</row>
    <row r="28" spans="1:251" s="4" customFormat="1">
      <c r="A28" s="52"/>
      <c r="B28" s="5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spans="1:251" s="4" customFormat="1">
      <c r="A29" s="84" t="s">
        <v>11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4" fitToHeight="5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P29"/>
  <sheetViews>
    <sheetView zoomScaleNormal="100" workbookViewId="0">
      <selection activeCell="D16" sqref="D16"/>
    </sheetView>
  </sheetViews>
  <sheetFormatPr defaultRowHeight="15"/>
  <cols>
    <col min="1" max="1" width="73.7109375" customWidth="1"/>
    <col min="2" max="2" width="14.140625" customWidth="1"/>
  </cols>
  <sheetData>
    <row r="1" spans="1:250">
      <c r="A1" s="6"/>
      <c r="B1" s="4"/>
      <c r="C1" s="4"/>
    </row>
    <row r="2" spans="1:250" s="9" customFormat="1" ht="38.25" customHeight="1">
      <c r="A2" s="148" t="s">
        <v>101</v>
      </c>
      <c r="B2" s="148"/>
      <c r="C2" s="12"/>
      <c r="IP2"/>
    </row>
    <row r="3" spans="1:250" s="92" customFormat="1" ht="43.5" customHeight="1">
      <c r="A3" s="7" t="s">
        <v>57</v>
      </c>
      <c r="B3" s="7" t="s">
        <v>66</v>
      </c>
      <c r="IM3" s="93"/>
    </row>
    <row r="4" spans="1:250">
      <c r="A4" s="22" t="s">
        <v>3</v>
      </c>
      <c r="B4" s="102">
        <v>2384.1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</row>
    <row r="5" spans="1:250">
      <c r="A5" s="22" t="s">
        <v>4</v>
      </c>
      <c r="B5" s="102">
        <v>22.61</v>
      </c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</row>
    <row r="6" spans="1:250">
      <c r="A6" s="23" t="s">
        <v>70</v>
      </c>
      <c r="B6" s="103">
        <v>1045221.31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</row>
    <row r="7" spans="1:250">
      <c r="A7" s="23" t="s">
        <v>35</v>
      </c>
      <c r="B7" s="103">
        <v>636240.30000000005</v>
      </c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</row>
    <row r="8" spans="1:250">
      <c r="A8" s="23" t="s">
        <v>48</v>
      </c>
      <c r="B8" s="103">
        <v>73086.539999999994</v>
      </c>
      <c r="C8" s="1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</row>
    <row r="9" spans="1:250">
      <c r="A9" s="23" t="s">
        <v>39</v>
      </c>
      <c r="B9" s="103">
        <v>696542.15</v>
      </c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</row>
    <row r="10" spans="1:250">
      <c r="A10" s="23" t="s">
        <v>109</v>
      </c>
      <c r="B10" s="103">
        <v>1055658.96</v>
      </c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</row>
    <row r="11" spans="1:250" s="2" customFormat="1" ht="24" customHeight="1">
      <c r="A11" s="69" t="s">
        <v>107</v>
      </c>
      <c r="B11" s="102">
        <f>B9</f>
        <v>696542.15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</row>
    <row r="12" spans="1:250">
      <c r="A12" s="12"/>
      <c r="B12" s="103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</row>
    <row r="13" spans="1:250" s="2" customFormat="1">
      <c r="A13" s="22" t="s">
        <v>108</v>
      </c>
      <c r="B13" s="102">
        <v>955095.18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</row>
    <row r="14" spans="1:250">
      <c r="A14" s="23" t="s">
        <v>6</v>
      </c>
      <c r="B14" s="103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</row>
    <row r="15" spans="1:250" s="2" customFormat="1">
      <c r="A15" s="23" t="s">
        <v>2</v>
      </c>
      <c r="B15" s="103">
        <f>3.19*12*B4</f>
        <v>91263.347999999998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</row>
    <row r="16" spans="1:250" s="2" customFormat="1">
      <c r="A16" s="23" t="s">
        <v>14</v>
      </c>
      <c r="B16" s="103">
        <f>0.33*12*B4</f>
        <v>9441.0360000000001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249" s="2" customFormat="1">
      <c r="A17" s="23" t="s">
        <v>1</v>
      </c>
      <c r="B17" s="103">
        <f>3.46*12*B4</f>
        <v>98987.83199999998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249" s="2" customFormat="1">
      <c r="A18" s="23" t="s">
        <v>8</v>
      </c>
      <c r="B18" s="103">
        <f>(1.4*9100*13*1.302+657813/3)*1.15</f>
        <v>500144.47599999997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249" s="2" customFormat="1">
      <c r="A19" s="23" t="s">
        <v>9</v>
      </c>
      <c r="B19" s="103">
        <v>504.5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</row>
    <row r="20" spans="1:249" s="2" customFormat="1">
      <c r="A20" s="23" t="s">
        <v>10</v>
      </c>
      <c r="B20" s="103">
        <f>B19*130*1.302*1.7</f>
        <v>145165.83900000001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</row>
    <row r="21" spans="1:249" s="2" customFormat="1">
      <c r="A21" s="23" t="s">
        <v>75</v>
      </c>
      <c r="B21" s="103">
        <v>73086.539999999994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</row>
    <row r="22" spans="1:249" s="2" customFormat="1">
      <c r="A22" s="23" t="s">
        <v>115</v>
      </c>
      <c r="B22" s="103">
        <v>37006.1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</row>
    <row r="23" spans="1:249" s="4" customFormat="1">
      <c r="A23" s="127" t="s">
        <v>120</v>
      </c>
      <c r="B23" s="103">
        <f>B11-B13</f>
        <v>-258553.03000000003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</row>
    <row r="24" spans="1:249" s="4" customFormat="1">
      <c r="A24" s="5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</row>
    <row r="25" spans="1:249" s="2" customFormat="1">
      <c r="A25" s="8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</row>
    <row r="26" spans="1:249">
      <c r="A26" s="4"/>
      <c r="B26" s="4"/>
      <c r="C26" s="4"/>
    </row>
    <row r="27" spans="1:249">
      <c r="A27" s="4"/>
      <c r="B27" s="4"/>
      <c r="C27" s="4"/>
    </row>
    <row r="28" spans="1:249">
      <c r="A28" s="4"/>
      <c r="B28" s="4"/>
      <c r="C28" s="4"/>
    </row>
    <row r="29" spans="1:249">
      <c r="A29" s="4"/>
      <c r="B29" s="4"/>
      <c r="C2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Q69"/>
  <sheetViews>
    <sheetView zoomScaleNormal="100" workbookViewId="0">
      <selection activeCell="E3" sqref="E3"/>
    </sheetView>
  </sheetViews>
  <sheetFormatPr defaultRowHeight="15"/>
  <cols>
    <col min="1" max="1" width="71.42578125" customWidth="1"/>
    <col min="2" max="2" width="14.85546875" customWidth="1"/>
  </cols>
  <sheetData>
    <row r="1" spans="1:251" s="4" customFormat="1">
      <c r="A1" s="6"/>
      <c r="D1" s="2"/>
    </row>
    <row r="2" spans="1:251" s="12" customFormat="1" ht="43.5" customHeight="1">
      <c r="A2" s="143" t="s">
        <v>102</v>
      </c>
      <c r="B2" s="143"/>
      <c r="D2" s="2"/>
      <c r="IQ2" s="4"/>
    </row>
    <row r="3" spans="1:251" s="92" customFormat="1" ht="43.5" customHeight="1">
      <c r="A3" s="7" t="s">
        <v>57</v>
      </c>
      <c r="B3" s="7" t="s">
        <v>66</v>
      </c>
      <c r="IM3" s="93"/>
    </row>
    <row r="4" spans="1:251" s="4" customFormat="1">
      <c r="A4" s="22" t="s">
        <v>3</v>
      </c>
      <c r="B4" s="102">
        <v>2514.8000000000002</v>
      </c>
      <c r="C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</row>
    <row r="5" spans="1:251" s="4" customFormat="1">
      <c r="A5" s="22" t="s">
        <v>4</v>
      </c>
      <c r="B5" s="102">
        <v>20.41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</row>
    <row r="6" spans="1:251" s="2" customFormat="1">
      <c r="A6" s="23" t="s">
        <v>70</v>
      </c>
      <c r="B6" s="103">
        <v>915593.85</v>
      </c>
      <c r="C6" s="17"/>
      <c r="D6" s="12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spans="1:251" s="4" customFormat="1">
      <c r="A7" s="23" t="s">
        <v>67</v>
      </c>
      <c r="B7" s="103">
        <v>679404.32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</row>
    <row r="8" spans="1:251" s="4" customFormat="1">
      <c r="A8" s="23" t="s">
        <v>48</v>
      </c>
      <c r="B8" s="103">
        <v>62335.29</v>
      </c>
      <c r="C8" s="12"/>
      <c r="D8" s="17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</row>
    <row r="9" spans="1:251" s="4" customFormat="1">
      <c r="A9" s="23" t="s">
        <v>39</v>
      </c>
      <c r="B9" s="103">
        <v>606449.82999999996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pans="1:251" s="4" customFormat="1">
      <c r="A10" s="23" t="s">
        <v>109</v>
      </c>
      <c r="B10" s="103">
        <v>1048692.51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</row>
    <row r="11" spans="1:251" s="4" customFormat="1" ht="23.25" customHeight="1">
      <c r="A11" s="69" t="s">
        <v>107</v>
      </c>
      <c r="B11" s="102">
        <f>B9</f>
        <v>606449.82999999996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</row>
    <row r="12" spans="1:251" s="4" customFormat="1">
      <c r="A12" s="17"/>
      <c r="B12" s="10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</row>
    <row r="13" spans="1:251" s="4" customFormat="1">
      <c r="A13" s="22" t="s">
        <v>108</v>
      </c>
      <c r="B13" s="102">
        <f>B15+B16+B17+B18+B20+B21+B22</f>
        <v>900457.91472000012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</row>
    <row r="14" spans="1:251" s="4" customFormat="1">
      <c r="A14" s="23" t="s">
        <v>6</v>
      </c>
      <c r="B14" s="10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</row>
    <row r="15" spans="1:251" s="4" customFormat="1">
      <c r="A15" s="23" t="s">
        <v>2</v>
      </c>
      <c r="B15" s="103">
        <f>3.19*12*B4*1.13</f>
        <v>108781.19472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</row>
    <row r="16" spans="1:251" s="4" customFormat="1">
      <c r="A16" s="23" t="s">
        <v>14</v>
      </c>
      <c r="B16" s="103">
        <f>0.33*12*B4</f>
        <v>9958.6080000000002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</row>
    <row r="17" spans="1:250" s="4" customFormat="1">
      <c r="A17" s="23" t="s">
        <v>1</v>
      </c>
      <c r="B17" s="103">
        <f>12*B4*4.29</f>
        <v>129461.90400000001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</row>
    <row r="18" spans="1:250" s="4" customFormat="1">
      <c r="A18" s="23" t="s">
        <v>8</v>
      </c>
      <c r="B18" s="103">
        <v>485365.45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</row>
    <row r="19" spans="1:250" s="4" customFormat="1">
      <c r="A19" s="23" t="s">
        <v>9</v>
      </c>
      <c r="B19" s="103">
        <v>354.5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</row>
    <row r="20" spans="1:250" s="4" customFormat="1">
      <c r="A20" s="23" t="s">
        <v>10</v>
      </c>
      <c r="B20" s="103">
        <f>B19*130*1.302*1.4</f>
        <v>84003.737999999998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</row>
    <row r="21" spans="1:250" s="2" customFormat="1">
      <c r="A21" s="23" t="s">
        <v>75</v>
      </c>
      <c r="B21" s="103">
        <v>62335.29</v>
      </c>
      <c r="C21" s="17"/>
      <c r="D21" s="1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</row>
    <row r="22" spans="1:250" s="2" customFormat="1">
      <c r="A22" s="23" t="s">
        <v>115</v>
      </c>
      <c r="B22" s="103">
        <v>20551.73</v>
      </c>
      <c r="C22" s="17"/>
      <c r="D22" s="12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</row>
    <row r="23" spans="1:250" s="2" customFormat="1">
      <c r="A23" s="127" t="s">
        <v>120</v>
      </c>
      <c r="B23" s="103">
        <f>B11-B13</f>
        <v>-294008.08472000016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</row>
    <row r="24" spans="1:250" s="4" customFormat="1">
      <c r="A24" s="52"/>
      <c r="B24" s="12"/>
      <c r="C24" s="12"/>
      <c r="D24" s="1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</row>
    <row r="25" spans="1:250" s="2" customFormat="1">
      <c r="A25" s="89" t="s">
        <v>11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</row>
    <row r="26" spans="1:250" s="4" customFormat="1">
      <c r="D26" s="12"/>
    </row>
    <row r="27" spans="1:250">
      <c r="D27" s="4"/>
    </row>
    <row r="28" spans="1:250">
      <c r="D28" s="4"/>
    </row>
    <row r="29" spans="1:250">
      <c r="A29" s="4"/>
      <c r="B29" s="4"/>
    </row>
    <row r="30" spans="1:250">
      <c r="A30" s="4"/>
      <c r="B30" s="4"/>
    </row>
    <row r="31" spans="1:250">
      <c r="A31" s="4"/>
      <c r="B31" s="4"/>
    </row>
    <row r="32" spans="1:25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2"/>
  <sheetViews>
    <sheetView zoomScaleNormal="100" workbookViewId="0">
      <selection activeCell="B16" sqref="B16"/>
    </sheetView>
  </sheetViews>
  <sheetFormatPr defaultRowHeight="15"/>
  <cols>
    <col min="1" max="1" width="68.7109375" customWidth="1"/>
    <col min="2" max="2" width="16.28515625" customWidth="1"/>
  </cols>
  <sheetData>
    <row r="1" spans="1:253" s="12" customFormat="1" ht="43.5" customHeight="1">
      <c r="A1" s="143" t="s">
        <v>103</v>
      </c>
      <c r="B1" s="143"/>
      <c r="IS1" s="4"/>
    </row>
    <row r="2" spans="1:253" s="92" customFormat="1" ht="43.5" customHeight="1">
      <c r="A2" s="7" t="s">
        <v>57</v>
      </c>
      <c r="B2" s="7" t="s">
        <v>66</v>
      </c>
      <c r="IM2" s="93"/>
    </row>
    <row r="3" spans="1:253" s="4" customFormat="1">
      <c r="A3" s="22" t="s">
        <v>3</v>
      </c>
      <c r="B3" s="102">
        <v>2636.5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</row>
    <row r="4" spans="1:253" s="4" customFormat="1">
      <c r="A4" s="22" t="s">
        <v>4</v>
      </c>
      <c r="B4" s="102">
        <v>21.48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pans="1:253" s="4" customFormat="1">
      <c r="A5" s="23" t="s">
        <v>70</v>
      </c>
      <c r="B5" s="103">
        <v>306309.57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3" s="4" customFormat="1">
      <c r="A6" s="23" t="s">
        <v>35</v>
      </c>
      <c r="B6" s="103">
        <v>679584.24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pans="1:253" s="4" customFormat="1">
      <c r="A7" s="23" t="s">
        <v>51</v>
      </c>
      <c r="B7" s="103">
        <v>2166.7199999999998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pans="1:253" s="4" customFormat="1">
      <c r="A8" s="23" t="s">
        <v>5</v>
      </c>
      <c r="B8" s="103">
        <v>10013.700000000001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spans="1:253" s="4" customFormat="1">
      <c r="A9" s="23" t="s">
        <v>113</v>
      </c>
      <c r="B9" s="103">
        <v>9649.64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pans="1:253" s="4" customFormat="1">
      <c r="A10" s="23" t="s">
        <v>39</v>
      </c>
      <c r="B10" s="103">
        <v>780979.73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pans="1:253" s="4" customFormat="1">
      <c r="A11" s="23" t="s">
        <v>109</v>
      </c>
      <c r="B11" s="103">
        <v>209477.33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3" s="4" customFormat="1" ht="18.75" customHeight="1">
      <c r="A12" s="69" t="s">
        <v>107</v>
      </c>
      <c r="B12" s="102">
        <f>B10</f>
        <v>780979.73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3" s="4" customFormat="1">
      <c r="A13" s="12"/>
      <c r="B13" s="10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pans="1:253" s="2" customFormat="1">
      <c r="A14" s="22" t="s">
        <v>108</v>
      </c>
      <c r="B14" s="102">
        <f>B16+B17+B18+B19+B21+B22+B23+B24+B25</f>
        <v>617723.26199999999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3" s="2" customFormat="1">
      <c r="A15" s="23" t="s">
        <v>6</v>
      </c>
      <c r="B15" s="10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3" s="2" customFormat="1">
      <c r="A16" s="23" t="s">
        <v>2</v>
      </c>
      <c r="B16" s="103">
        <f>3.19*12*B3</f>
        <v>100925.22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s="2" customFormat="1">
      <c r="A17" s="23" t="s">
        <v>14</v>
      </c>
      <c r="B17" s="103">
        <f>0.33*12*B3</f>
        <v>10440.539999999999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2" customFormat="1">
      <c r="A18" s="23" t="s">
        <v>1</v>
      </c>
      <c r="B18" s="103">
        <f>4.1*12*B3</f>
        <v>129715.79999999999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2" customFormat="1">
      <c r="A19" s="23" t="s">
        <v>8</v>
      </c>
      <c r="B19" s="103">
        <f>0.9*9100*13*1.5</f>
        <v>159705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2" customFormat="1">
      <c r="A20" s="23" t="s">
        <v>9</v>
      </c>
      <c r="B20" s="103">
        <v>365.5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2" customFormat="1">
      <c r="A21" s="23" t="s">
        <v>10</v>
      </c>
      <c r="B21" s="103">
        <f>B20*130*1.302*2.4</f>
        <v>148474.872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2" customFormat="1">
      <c r="A22" s="23" t="s">
        <v>75</v>
      </c>
      <c r="B22" s="103">
        <v>2166.7199999999998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s="4" customFormat="1">
      <c r="A23" s="23" t="s">
        <v>76</v>
      </c>
      <c r="B23" s="103">
        <v>31305.599999999999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spans="1:252" s="4" customFormat="1">
      <c r="A24" s="23" t="s">
        <v>117</v>
      </c>
      <c r="B24" s="103">
        <v>9649.64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spans="1:252" s="2" customFormat="1">
      <c r="A25" s="23" t="s">
        <v>115</v>
      </c>
      <c r="B25" s="103">
        <v>25339.87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2" customFormat="1">
      <c r="A26" s="23" t="s">
        <v>70</v>
      </c>
      <c r="B26" s="103">
        <f>B5</f>
        <v>306309.57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s="2" customFormat="1">
      <c r="A27" s="127" t="s">
        <v>120</v>
      </c>
      <c r="B27" s="103">
        <f>B12-B14-B26</f>
        <v>-143053.10200000001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</row>
    <row r="28" spans="1:252" s="4" customFormat="1">
      <c r="A28" s="52"/>
      <c r="B28" s="56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</row>
    <row r="29" spans="1:252" s="2" customFormat="1">
      <c r="A29" s="89" t="s">
        <v>11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</row>
    <row r="30" spans="1:252" s="4" customFormat="1"/>
    <row r="31" spans="1:252">
      <c r="A31" s="21"/>
    </row>
    <row r="32" spans="1:252">
      <c r="B32" s="20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8"/>
  <sheetViews>
    <sheetView zoomScaleNormal="100" workbookViewId="0">
      <selection activeCell="B13" sqref="B13"/>
    </sheetView>
  </sheetViews>
  <sheetFormatPr defaultRowHeight="15"/>
  <cols>
    <col min="1" max="1" width="68.7109375" customWidth="1"/>
    <col min="2" max="2" width="16.28515625" customWidth="1"/>
    <col min="3" max="3" width="9.5703125" bestFit="1" customWidth="1"/>
  </cols>
  <sheetData>
    <row r="1" spans="1:253" s="9" customFormat="1" ht="43.5" customHeight="1">
      <c r="A1" s="143" t="s">
        <v>104</v>
      </c>
      <c r="B1" s="143"/>
      <c r="IS1"/>
    </row>
    <row r="2" spans="1:253" s="92" customFormat="1" ht="43.5" customHeight="1">
      <c r="A2" s="7" t="s">
        <v>57</v>
      </c>
      <c r="B2" s="7" t="s">
        <v>66</v>
      </c>
      <c r="IM2" s="93"/>
    </row>
    <row r="3" spans="1:253">
      <c r="A3" s="15" t="s">
        <v>3</v>
      </c>
      <c r="B3" s="102">
        <v>2564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</row>
    <row r="4" spans="1:253">
      <c r="A4" s="15" t="s">
        <v>4</v>
      </c>
      <c r="B4" s="102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3">
      <c r="A5" s="16" t="s">
        <v>70</v>
      </c>
      <c r="B5" s="103">
        <v>105063.57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</row>
    <row r="6" spans="1:253">
      <c r="A6" s="16" t="s">
        <v>35</v>
      </c>
      <c r="B6" s="103">
        <v>605656.71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</row>
    <row r="7" spans="1:253">
      <c r="A7" s="16" t="s">
        <v>5</v>
      </c>
      <c r="B7" s="103">
        <v>2591.8200000000002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</row>
    <row r="8" spans="1:253">
      <c r="A8" s="16" t="s">
        <v>113</v>
      </c>
      <c r="B8" s="103">
        <v>9640.65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</row>
    <row r="9" spans="1:253">
      <c r="A9" s="16" t="s">
        <v>39</v>
      </c>
      <c r="B9" s="103">
        <v>680356.53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</row>
    <row r="10" spans="1:253">
      <c r="A10" s="16" t="s">
        <v>109</v>
      </c>
      <c r="B10" s="103">
        <v>43585.13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</row>
    <row r="11" spans="1:253" ht="18.75" customHeight="1">
      <c r="A11" s="14" t="s">
        <v>107</v>
      </c>
      <c r="B11" s="102">
        <f>B9</f>
        <v>680356.53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</row>
    <row r="12" spans="1:253">
      <c r="A12" s="9"/>
      <c r="B12" s="10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</row>
    <row r="13" spans="1:253">
      <c r="A13" s="22" t="s">
        <v>108</v>
      </c>
      <c r="B13" s="102">
        <f>B15+B16+B17+B18+B20+B21+B23+B24+B22</f>
        <v>585974.21720000007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</row>
    <row r="14" spans="1:253">
      <c r="A14" s="23" t="s">
        <v>6</v>
      </c>
      <c r="B14" s="10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</row>
    <row r="15" spans="1:253" s="32" customFormat="1">
      <c r="A15" s="23" t="s">
        <v>2</v>
      </c>
      <c r="B15" s="103">
        <f>3.19*12*B3</f>
        <v>98149.92</v>
      </c>
      <c r="C15" s="72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</row>
    <row r="16" spans="1:253" s="32" customFormat="1">
      <c r="A16" s="23" t="s">
        <v>14</v>
      </c>
      <c r="B16" s="103">
        <f>0.33*12*B3</f>
        <v>10153.44</v>
      </c>
      <c r="C16" s="72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</row>
    <row r="17" spans="1:252" s="32" customFormat="1">
      <c r="A17" s="23" t="s">
        <v>1</v>
      </c>
      <c r="B17" s="103">
        <v>73546.25</v>
      </c>
      <c r="C17" s="72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</row>
    <row r="18" spans="1:252" s="32" customFormat="1">
      <c r="A18" s="23" t="s">
        <v>8</v>
      </c>
      <c r="B18" s="103">
        <v>213854.65</v>
      </c>
      <c r="C18" s="72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</row>
    <row r="19" spans="1:252">
      <c r="A19" s="23" t="s">
        <v>9</v>
      </c>
      <c r="B19" s="103">
        <v>415.9</v>
      </c>
      <c r="C19" s="73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</row>
    <row r="20" spans="1:252">
      <c r="A20" s="23" t="s">
        <v>10</v>
      </c>
      <c r="B20" s="103">
        <f>B19*120*1.302*1.7</f>
        <v>110466.36719999999</v>
      </c>
      <c r="C20" s="73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</row>
    <row r="21" spans="1:252">
      <c r="A21" s="23" t="s">
        <v>117</v>
      </c>
      <c r="B21" s="103">
        <v>9640.65</v>
      </c>
      <c r="C21" s="7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</row>
    <row r="22" spans="1:252">
      <c r="A22" s="23" t="s">
        <v>76</v>
      </c>
      <c r="B22" s="103">
        <v>6139.54</v>
      </c>
      <c r="C22" s="73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</row>
    <row r="23" spans="1:252">
      <c r="A23" s="23" t="s">
        <v>115</v>
      </c>
      <c r="B23" s="103">
        <v>10180.75</v>
      </c>
      <c r="C23" s="73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</row>
    <row r="24" spans="1:252">
      <c r="A24" s="23" t="s">
        <v>60</v>
      </c>
      <c r="B24" s="103">
        <v>53842.65</v>
      </c>
      <c r="C24" s="7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</row>
    <row r="25" spans="1:252">
      <c r="A25" s="23" t="s">
        <v>70</v>
      </c>
      <c r="B25" s="103">
        <f>B5</f>
        <v>105063.57</v>
      </c>
      <c r="C25" s="7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</row>
    <row r="26" spans="1:252" s="4" customFormat="1">
      <c r="A26" s="127" t="s">
        <v>120</v>
      </c>
      <c r="B26" s="103">
        <f>B11-B13-B25</f>
        <v>-10681.257200000051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</row>
    <row r="27" spans="1:252" s="4" customFormat="1">
      <c r="A27" s="34"/>
      <c r="B27" s="3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</row>
    <row r="28" spans="1:252">
      <c r="A28" s="33" t="s">
        <v>11</v>
      </c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fitToHeight="3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9"/>
  <sheetViews>
    <sheetView zoomScaleNormal="100" workbookViewId="0">
      <selection activeCell="I13" sqref="H12:I13"/>
    </sheetView>
  </sheetViews>
  <sheetFormatPr defaultRowHeight="15"/>
  <cols>
    <col min="1" max="1" width="67.28515625" customWidth="1"/>
    <col min="2" max="2" width="15.42578125" customWidth="1"/>
  </cols>
  <sheetData>
    <row r="1" spans="1:253" s="9" customFormat="1" ht="43.5" customHeight="1">
      <c r="A1" s="143" t="s">
        <v>105</v>
      </c>
      <c r="B1" s="143"/>
      <c r="IS1"/>
    </row>
    <row r="2" spans="1:253" s="92" customFormat="1" ht="43.5" customHeight="1">
      <c r="A2" s="7" t="s">
        <v>57</v>
      </c>
      <c r="B2" s="7" t="s">
        <v>66</v>
      </c>
      <c r="IM2" s="93"/>
    </row>
    <row r="3" spans="1:253">
      <c r="A3" s="22" t="s">
        <v>3</v>
      </c>
      <c r="B3" s="102">
        <v>2514.5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</row>
    <row r="4" spans="1:253">
      <c r="A4" s="22" t="s">
        <v>4</v>
      </c>
      <c r="B4" s="102">
        <v>21.65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3">
      <c r="A5" s="23" t="s">
        <v>70</v>
      </c>
      <c r="B5" s="103">
        <v>241269.63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</row>
    <row r="6" spans="1:253">
      <c r="A6" s="23" t="s">
        <v>35</v>
      </c>
      <c r="B6" s="103">
        <v>628223.72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</row>
    <row r="7" spans="1:253">
      <c r="A7" s="23" t="s">
        <v>51</v>
      </c>
      <c r="B7" s="103">
        <v>14061.72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</row>
    <row r="8" spans="1:253">
      <c r="A8" s="23" t="s">
        <v>113</v>
      </c>
      <c r="B8" s="103">
        <v>9655.7099999999991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</row>
    <row r="9" spans="1:253">
      <c r="A9" s="23" t="s">
        <v>39</v>
      </c>
      <c r="B9" s="103">
        <v>627180.53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</row>
    <row r="10" spans="1:253">
      <c r="A10" s="23" t="s">
        <v>109</v>
      </c>
      <c r="B10" s="103">
        <v>234838.14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</row>
    <row r="11" spans="1:253" ht="18.75" customHeight="1">
      <c r="A11" s="69" t="s">
        <v>107</v>
      </c>
      <c r="B11" s="102">
        <f>B9</f>
        <v>627180.53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</row>
    <row r="12" spans="1:253">
      <c r="A12" s="12"/>
      <c r="B12" s="10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</row>
    <row r="13" spans="1:253">
      <c r="A13" s="22" t="s">
        <v>108</v>
      </c>
      <c r="B13" s="102">
        <f>B15+B16+B17+B18+B20+B21+B22+B23+B24</f>
        <v>603087.85999999987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</row>
    <row r="14" spans="1:253">
      <c r="A14" s="23" t="s">
        <v>6</v>
      </c>
      <c r="B14" s="10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</row>
    <row r="15" spans="1:253" s="32" customFormat="1">
      <c r="A15" s="23" t="s">
        <v>2</v>
      </c>
      <c r="B15" s="103">
        <f>3.19*12*B3</f>
        <v>96255.06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</row>
    <row r="16" spans="1:253" s="32" customFormat="1">
      <c r="A16" s="23" t="s">
        <v>14</v>
      </c>
      <c r="B16" s="103">
        <f>0.33*12*B3</f>
        <v>9957.42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</row>
    <row r="17" spans="1:252" s="32" customFormat="1">
      <c r="A17" s="23" t="s">
        <v>1</v>
      </c>
      <c r="B17" s="103">
        <v>117289.65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</row>
    <row r="18" spans="1:252" s="2" customFormat="1">
      <c r="A18" s="23" t="s">
        <v>8</v>
      </c>
      <c r="B18" s="103">
        <f>0.9*9100*13*1.302*1.5</f>
        <v>207935.91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>
      <c r="A19" s="23" t="s">
        <v>9</v>
      </c>
      <c r="B19" s="103">
        <v>497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</row>
    <row r="20" spans="1:252">
      <c r="A20" s="23" t="s">
        <v>10</v>
      </c>
      <c r="B20" s="103">
        <f>B19*130*1.302*1.5</f>
        <v>126183.33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</row>
    <row r="21" spans="1:252" s="2" customFormat="1">
      <c r="A21" s="23" t="s">
        <v>75</v>
      </c>
      <c r="B21" s="103">
        <v>14061.72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2" customFormat="1">
      <c r="A22" s="23" t="s">
        <v>76</v>
      </c>
      <c r="B22" s="103">
        <v>26.62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s="2" customFormat="1">
      <c r="A23" s="23" t="s">
        <v>117</v>
      </c>
      <c r="B23" s="103">
        <v>9655.7099999999991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2" customFormat="1">
      <c r="A24" s="23" t="s">
        <v>115</v>
      </c>
      <c r="B24" s="103">
        <v>21722.44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2" customFormat="1">
      <c r="A25" s="23" t="s">
        <v>70</v>
      </c>
      <c r="B25" s="103">
        <f>B5</f>
        <v>241269.63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4" customFormat="1">
      <c r="A26" s="127" t="s">
        <v>120</v>
      </c>
      <c r="B26" s="103">
        <f>B11-B13-B25</f>
        <v>-217176.95999999985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</row>
    <row r="27" spans="1:252" s="4" customFormat="1">
      <c r="A27" s="52"/>
      <c r="B27" s="56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</row>
    <row r="28" spans="1:252">
      <c r="A28" s="144" t="s">
        <v>11</v>
      </c>
      <c r="B28" s="14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</row>
    <row r="29" spans="1:252">
      <c r="A29" s="4"/>
      <c r="B29" s="4"/>
    </row>
  </sheetData>
  <mergeCells count="2">
    <mergeCell ref="A1:B1"/>
    <mergeCell ref="A28:B28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S33"/>
  <sheetViews>
    <sheetView tabSelected="1" zoomScaleNormal="100" workbookViewId="0">
      <selection activeCell="D20" sqref="D20"/>
    </sheetView>
  </sheetViews>
  <sheetFormatPr defaultRowHeight="15"/>
  <cols>
    <col min="1" max="1" width="71.7109375" customWidth="1"/>
    <col min="2" max="2" width="16.42578125" customWidth="1"/>
  </cols>
  <sheetData>
    <row r="1" spans="1:253" s="9" customFormat="1" ht="43.5" customHeight="1">
      <c r="A1" s="143" t="s">
        <v>106</v>
      </c>
      <c r="B1" s="143"/>
      <c r="C1" s="12"/>
      <c r="IS1"/>
    </row>
    <row r="2" spans="1:253" s="92" customFormat="1" ht="43.5" customHeight="1">
      <c r="A2" s="7" t="s">
        <v>57</v>
      </c>
      <c r="B2" s="7" t="s">
        <v>66</v>
      </c>
      <c r="IM2" s="93"/>
    </row>
    <row r="3" spans="1:253">
      <c r="A3" s="22" t="s">
        <v>3</v>
      </c>
      <c r="B3" s="102">
        <v>5122.6000000000004</v>
      </c>
      <c r="C3" s="1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</row>
    <row r="4" spans="1:253">
      <c r="A4" s="22" t="s">
        <v>4</v>
      </c>
      <c r="B4" s="102">
        <v>22.39</v>
      </c>
      <c r="C4" s="12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pans="1:253" s="2" customFormat="1">
      <c r="A5" s="23" t="s">
        <v>70</v>
      </c>
      <c r="B5" s="103">
        <v>367134.49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</row>
    <row r="6" spans="1:253">
      <c r="A6" s="23" t="s">
        <v>35</v>
      </c>
      <c r="B6" s="103">
        <v>1325610.18</v>
      </c>
      <c r="C6" s="1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</row>
    <row r="7" spans="1:253">
      <c r="A7" s="23" t="s">
        <v>51</v>
      </c>
      <c r="B7" s="103">
        <v>5627.25</v>
      </c>
      <c r="C7" s="1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</row>
    <row r="8" spans="1:253">
      <c r="A8" s="23" t="s">
        <v>5</v>
      </c>
      <c r="B8" s="103">
        <v>5957.43</v>
      </c>
      <c r="C8" s="12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</row>
    <row r="9" spans="1:253">
      <c r="A9" s="23" t="s">
        <v>113</v>
      </c>
      <c r="B9" s="103">
        <v>9681.75</v>
      </c>
      <c r="C9" s="12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</row>
    <row r="10" spans="1:253">
      <c r="A10" s="23" t="s">
        <v>114</v>
      </c>
      <c r="B10" s="103">
        <v>3750</v>
      </c>
      <c r="C10" s="1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</row>
    <row r="11" spans="1:253">
      <c r="A11" s="23" t="s">
        <v>39</v>
      </c>
      <c r="B11" s="103">
        <v>1324603.04</v>
      </c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</row>
    <row r="12" spans="1:253">
      <c r="A12" s="23" t="s">
        <v>109</v>
      </c>
      <c r="B12" s="103">
        <v>391173.77</v>
      </c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</row>
    <row r="13" spans="1:253" ht="23.25" customHeight="1">
      <c r="A13" s="69" t="s">
        <v>107</v>
      </c>
      <c r="B13" s="102">
        <f>B11</f>
        <v>1324603.04</v>
      </c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</row>
    <row r="14" spans="1:253">
      <c r="A14" s="12"/>
      <c r="B14" s="103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</row>
    <row r="15" spans="1:253">
      <c r="A15" s="22" t="s">
        <v>108</v>
      </c>
      <c r="B15" s="102">
        <v>1193880.55</v>
      </c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</row>
    <row r="16" spans="1:253">
      <c r="A16" s="23" t="s">
        <v>6</v>
      </c>
      <c r="B16" s="103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</row>
    <row r="17" spans="1:252" s="2" customFormat="1">
      <c r="A17" s="23" t="s">
        <v>2</v>
      </c>
      <c r="B17" s="103">
        <f>3.19*12*B3</f>
        <v>196093.12800000003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2" customFormat="1">
      <c r="A18" s="23" t="s">
        <v>14</v>
      </c>
      <c r="B18" s="103">
        <f>0.33*12*B3</f>
        <v>20285.496000000003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2" customFormat="1">
      <c r="A19" s="23" t="s">
        <v>1</v>
      </c>
      <c r="B19" s="103">
        <v>235148.56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2" customFormat="1">
      <c r="A20" s="23" t="s">
        <v>8</v>
      </c>
      <c r="B20" s="103">
        <v>375489.54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>
      <c r="A21" s="23" t="s">
        <v>9</v>
      </c>
      <c r="B21" s="103">
        <v>684.5</v>
      </c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</row>
    <row r="22" spans="1:252">
      <c r="A22" s="23" t="s">
        <v>10</v>
      </c>
      <c r="B22" s="103">
        <f>B21*160*1.302*1.75</f>
        <v>249541.32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</row>
    <row r="23" spans="1:252" s="2" customFormat="1">
      <c r="A23" s="23" t="s">
        <v>75</v>
      </c>
      <c r="B23" s="103">
        <v>5627.25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2" customFormat="1">
      <c r="A24" s="23" t="s">
        <v>76</v>
      </c>
      <c r="B24" s="103">
        <v>76682.52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2" customFormat="1">
      <c r="A25" s="23" t="s">
        <v>117</v>
      </c>
      <c r="B25" s="103">
        <v>9681.75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2" customFormat="1">
      <c r="A26" s="23" t="s">
        <v>118</v>
      </c>
      <c r="B26" s="103">
        <v>3750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s="2" customFormat="1">
      <c r="A27" s="23" t="s">
        <v>115</v>
      </c>
      <c r="B27" s="103">
        <v>20896.48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s="2" customFormat="1">
      <c r="A28" s="23" t="s">
        <v>70</v>
      </c>
      <c r="B28" s="103">
        <f>B5</f>
        <v>367134.49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s="4" customFormat="1">
      <c r="A29" s="127" t="s">
        <v>120</v>
      </c>
      <c r="B29" s="103">
        <f>B13-B15-B28</f>
        <v>-236412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</row>
    <row r="30" spans="1:252" s="4" customFormat="1">
      <c r="A30" s="34"/>
      <c r="B30" s="35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</row>
    <row r="31" spans="1:252">
      <c r="A31" s="87" t="s">
        <v>11</v>
      </c>
      <c r="B31" s="17"/>
      <c r="C31" s="1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</row>
    <row r="32" spans="1:252">
      <c r="A32" s="4"/>
      <c r="B32" s="4"/>
      <c r="C32" s="4"/>
    </row>
    <row r="33" spans="1:3">
      <c r="A33" s="4"/>
      <c r="B33" s="4"/>
      <c r="C33" s="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0"/>
  <sheetViews>
    <sheetView zoomScaleNormal="100" workbookViewId="0">
      <selection activeCell="C23" sqref="C23"/>
    </sheetView>
  </sheetViews>
  <sheetFormatPr defaultRowHeight="15"/>
  <cols>
    <col min="1" max="1" width="83.140625" customWidth="1"/>
    <col min="2" max="2" width="18.42578125" customWidth="1"/>
    <col min="3" max="3" width="12.140625" customWidth="1"/>
  </cols>
  <sheetData>
    <row r="1" spans="1:249" s="12" customFormat="1" ht="40.5" customHeight="1">
      <c r="A1" s="143" t="s">
        <v>80</v>
      </c>
      <c r="B1" s="143"/>
      <c r="IO1" s="4"/>
    </row>
    <row r="2" spans="1:249" s="12" customFormat="1" ht="47.25" customHeight="1">
      <c r="A2" s="90" t="s">
        <v>57</v>
      </c>
      <c r="B2" s="100" t="s">
        <v>66</v>
      </c>
      <c r="IO2" s="4"/>
    </row>
    <row r="3" spans="1:249" s="4" customFormat="1">
      <c r="A3" s="68" t="s">
        <v>3</v>
      </c>
      <c r="B3" s="128">
        <v>846.9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9" s="4" customFormat="1">
      <c r="A4" s="22" t="s">
        <v>4</v>
      </c>
      <c r="B4" s="102">
        <v>18.09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spans="1:249" s="2" customFormat="1">
      <c r="A5" s="23" t="s">
        <v>70</v>
      </c>
      <c r="B5" s="103">
        <v>79466.55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</row>
    <row r="6" spans="1:249" s="2" customFormat="1">
      <c r="A6" s="23" t="s">
        <v>35</v>
      </c>
      <c r="B6" s="103">
        <v>183845.04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</row>
    <row r="7" spans="1:249" s="2" customFormat="1">
      <c r="A7" s="23" t="s">
        <v>5</v>
      </c>
      <c r="B7" s="103">
        <v>2437.8200000000002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</row>
    <row r="8" spans="1:249" s="4" customFormat="1">
      <c r="A8" s="23" t="s">
        <v>69</v>
      </c>
      <c r="B8" s="103">
        <v>186177.96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spans="1:249" s="4" customFormat="1">
      <c r="A9" s="23" t="s">
        <v>109</v>
      </c>
      <c r="B9" s="103">
        <f>B5+B6+B7-B8</f>
        <v>79571.450000000041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spans="1:249" s="4" customFormat="1" ht="18.75" customHeight="1">
      <c r="A10" s="69" t="s">
        <v>107</v>
      </c>
      <c r="B10" s="102">
        <f>B8</f>
        <v>186177.96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</row>
    <row r="11" spans="1:249" s="4" customFormat="1">
      <c r="A11" s="12"/>
      <c r="B11" s="1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spans="1:249" s="4" customFormat="1">
      <c r="A12" s="22" t="s">
        <v>108</v>
      </c>
      <c r="B12" s="102">
        <v>187104.1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spans="1:249" s="4" customFormat="1">
      <c r="A13" s="23" t="s">
        <v>6</v>
      </c>
      <c r="B13" s="10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spans="1:249" s="2" customFormat="1">
      <c r="A14" s="23" t="s">
        <v>2</v>
      </c>
      <c r="B14" s="103">
        <f>1.91*B3*12</f>
        <v>19410.948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9" s="4" customFormat="1">
      <c r="A15" s="23" t="s">
        <v>1</v>
      </c>
      <c r="B15" s="103">
        <v>41456.25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spans="1:249" s="2" customFormat="1">
      <c r="A16" s="23" t="s">
        <v>14</v>
      </c>
      <c r="B16" s="103">
        <f>0.33*B3*12</f>
        <v>3353.7240000000002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s="2" customFormat="1">
      <c r="A17" s="23" t="s">
        <v>54</v>
      </c>
      <c r="B17" s="103">
        <v>12874.2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s="4" customFormat="1">
      <c r="A18" s="23" t="s">
        <v>41</v>
      </c>
      <c r="B18" s="103">
        <v>15648.78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spans="1:248" s="4" customFormat="1">
      <c r="A19" s="23" t="s">
        <v>9</v>
      </c>
      <c r="B19" s="103">
        <v>237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spans="1:248" s="4" customFormat="1">
      <c r="A20" s="23" t="s">
        <v>10</v>
      </c>
      <c r="B20" s="103">
        <f>B19*110*1.302*2.1</f>
        <v>71280.593999999997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spans="1:248" s="2" customFormat="1">
      <c r="A21" s="23" t="s">
        <v>71</v>
      </c>
      <c r="B21" s="103">
        <v>15105.68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s="2" customFormat="1">
      <c r="A22" s="23" t="s">
        <v>115</v>
      </c>
      <c r="B22" s="103">
        <v>7973.93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s="2" customFormat="1">
      <c r="A23" s="23" t="s">
        <v>70</v>
      </c>
      <c r="B23" s="103">
        <f>B5</f>
        <v>79466.55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s="2" customFormat="1">
      <c r="A24" s="23" t="s">
        <v>72</v>
      </c>
      <c r="B24" s="103">
        <f>B10-B12-B23</f>
        <v>-80392.690000000017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</row>
    <row r="25" spans="1:248" s="2" customForma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</row>
    <row r="26" spans="1:248" s="2" customFormat="1">
      <c r="A26" s="74" t="s">
        <v>11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s="4" customFormat="1"/>
    <row r="28" spans="1:248" s="4" customFormat="1"/>
    <row r="29" spans="1:248" s="4" customFormat="1"/>
    <row r="30" spans="1:248" s="4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zoomScaleNormal="100" workbookViewId="0">
      <selection activeCell="H4" sqref="H4"/>
    </sheetView>
  </sheetViews>
  <sheetFormatPr defaultRowHeight="15"/>
  <cols>
    <col min="1" max="1" width="5.140625" customWidth="1"/>
    <col min="2" max="2" width="20.85546875" customWidth="1"/>
    <col min="3" max="3" width="6.5703125" customWidth="1"/>
    <col min="4" max="4" width="17.7109375" customWidth="1"/>
    <col min="5" max="5" width="18.28515625" customWidth="1"/>
    <col min="6" max="6" width="18.85546875" style="2" customWidth="1"/>
  </cols>
  <sheetData>
    <row r="1" spans="1:6" ht="15.75">
      <c r="A1" s="149" t="s">
        <v>65</v>
      </c>
      <c r="B1" s="149"/>
      <c r="C1" s="149"/>
      <c r="D1" s="149"/>
      <c r="E1" s="149"/>
      <c r="F1" s="149"/>
    </row>
    <row r="2" spans="1:6" ht="15.75">
      <c r="A2" s="37"/>
      <c r="B2" s="37"/>
      <c r="C2" s="37"/>
      <c r="D2" s="37"/>
      <c r="E2" s="37"/>
      <c r="F2" s="64"/>
    </row>
    <row r="3" spans="1:6" s="36" customFormat="1" ht="31.5">
      <c r="A3" s="50" t="s">
        <v>42</v>
      </c>
      <c r="B3" s="51" t="s">
        <v>43</v>
      </c>
      <c r="C3" s="50" t="s">
        <v>15</v>
      </c>
      <c r="D3" s="50" t="s">
        <v>62</v>
      </c>
      <c r="E3" s="50" t="s">
        <v>63</v>
      </c>
      <c r="F3" s="65" t="s">
        <v>61</v>
      </c>
    </row>
    <row r="4" spans="1:6" s="2" customFormat="1" ht="15.75">
      <c r="A4" s="60">
        <v>1</v>
      </c>
      <c r="B4" s="61" t="s">
        <v>44</v>
      </c>
      <c r="C4" s="60" t="s">
        <v>16</v>
      </c>
      <c r="D4" s="62">
        <f>'вокзальная 9а'!B11</f>
        <v>382237.77</v>
      </c>
      <c r="E4" s="62">
        <f>'вокзальная 9а'!B13</f>
        <v>411735.58799999999</v>
      </c>
      <c r="F4" s="63">
        <f>D4-E4</f>
        <v>-29497.81799999997</v>
      </c>
    </row>
    <row r="5" spans="1:6" s="2" customFormat="1" ht="15.75">
      <c r="A5" s="60">
        <v>2</v>
      </c>
      <c r="B5" s="61" t="s">
        <v>44</v>
      </c>
      <c r="C5" s="60" t="s">
        <v>17</v>
      </c>
      <c r="D5" s="62">
        <f>'вокзальная 11'!B11</f>
        <v>314627.45</v>
      </c>
      <c r="E5" s="62">
        <f>'вокзальная 11'!B13</f>
        <v>362758.17559999996</v>
      </c>
      <c r="F5" s="63">
        <f t="shared" ref="F5:F31" si="0">D5-E5</f>
        <v>-48130.725599999947</v>
      </c>
    </row>
    <row r="6" spans="1:6" ht="15.75">
      <c r="A6" s="38">
        <v>3</v>
      </c>
      <c r="B6" s="39" t="s">
        <v>44</v>
      </c>
      <c r="C6" s="38" t="s">
        <v>18</v>
      </c>
      <c r="D6" s="40">
        <f>'вокзальная 17а'!C11</f>
        <v>77061.820000000007</v>
      </c>
      <c r="E6" s="40">
        <f>'вокзальная 17а'!C13</f>
        <v>98442.37</v>
      </c>
      <c r="F6" s="63">
        <f t="shared" si="0"/>
        <v>-21380.549999999988</v>
      </c>
    </row>
    <row r="7" spans="1:6" ht="15.75">
      <c r="A7" s="38">
        <v>4</v>
      </c>
      <c r="B7" s="39" t="s">
        <v>19</v>
      </c>
      <c r="C7" s="38">
        <v>1</v>
      </c>
      <c r="D7" s="62">
        <f>'Гагарина 1'!C11</f>
        <v>212320.27</v>
      </c>
      <c r="E7" s="62">
        <f>'Гагарина 1'!C13</f>
        <v>224462.38</v>
      </c>
      <c r="F7" s="63">
        <f t="shared" si="0"/>
        <v>-12142.110000000015</v>
      </c>
    </row>
    <row r="8" spans="1:6" ht="15.75">
      <c r="A8" s="38">
        <v>5</v>
      </c>
      <c r="B8" s="39" t="s">
        <v>19</v>
      </c>
      <c r="C8" s="38" t="s">
        <v>20</v>
      </c>
      <c r="D8" s="62">
        <f>'Гагарина 2а'!B9</f>
        <v>175598.22</v>
      </c>
      <c r="E8" s="62">
        <f>'Гагарина 2а'!B11</f>
        <v>177007.15</v>
      </c>
      <c r="F8" s="63">
        <f t="shared" si="0"/>
        <v>-1408.929999999993</v>
      </c>
    </row>
    <row r="9" spans="1:6" ht="15.75">
      <c r="A9" s="38">
        <v>6</v>
      </c>
      <c r="B9" s="39" t="s">
        <v>19</v>
      </c>
      <c r="C9" s="38" t="s">
        <v>22</v>
      </c>
      <c r="D9" s="40">
        <f>'Гагарина 5а'!B11</f>
        <v>168380.96</v>
      </c>
      <c r="E9" s="40">
        <f>'Гагарина 5а'!B13</f>
        <v>175059.16580000002</v>
      </c>
      <c r="F9" s="63">
        <f t="shared" si="0"/>
        <v>-6678.2058000000252</v>
      </c>
    </row>
    <row r="10" spans="1:6" ht="15.75">
      <c r="A10" s="99">
        <v>7</v>
      </c>
      <c r="B10" s="42" t="s">
        <v>23</v>
      </c>
      <c r="C10" s="43" t="s">
        <v>24</v>
      </c>
      <c r="D10" s="41">
        <f>'М.Горького 3б'!B10</f>
        <v>186177.96</v>
      </c>
      <c r="E10" s="41">
        <f>'М.Горького 3б'!B12</f>
        <v>187104.1</v>
      </c>
      <c r="F10" s="63">
        <f t="shared" si="0"/>
        <v>-926.14000000001397</v>
      </c>
    </row>
    <row r="11" spans="1:6" ht="15.75">
      <c r="A11" s="99">
        <v>8</v>
      </c>
      <c r="B11" s="42" t="s">
        <v>23</v>
      </c>
      <c r="C11" s="43" t="s">
        <v>25</v>
      </c>
      <c r="D11" s="41">
        <f>'М.Горького 4а'!B11</f>
        <v>194645.67</v>
      </c>
      <c r="E11" s="41">
        <f>'М.Горького 4а'!B13</f>
        <v>181566.965</v>
      </c>
      <c r="F11" s="63">
        <f t="shared" si="0"/>
        <v>13078.705000000016</v>
      </c>
    </row>
    <row r="12" spans="1:6" ht="15.75">
      <c r="A12" s="99">
        <v>9</v>
      </c>
      <c r="B12" s="44" t="s">
        <v>45</v>
      </c>
      <c r="C12" s="45" t="s">
        <v>34</v>
      </c>
      <c r="D12" s="41">
        <f>'Кирова 19а'!C9</f>
        <v>43781</v>
      </c>
      <c r="E12" s="41">
        <f>'Кирова 19а'!C11</f>
        <v>42180.598839999991</v>
      </c>
      <c r="F12" s="63">
        <f t="shared" si="0"/>
        <v>1600.4011600000085</v>
      </c>
    </row>
    <row r="13" spans="1:6" ht="15.75">
      <c r="A13" s="99">
        <v>10</v>
      </c>
      <c r="B13" s="44" t="s">
        <v>46</v>
      </c>
      <c r="C13" s="45" t="s">
        <v>20</v>
      </c>
      <c r="D13" s="41" t="e">
        <f>#REF!</f>
        <v>#REF!</v>
      </c>
      <c r="E13" s="41" t="e">
        <f>#REF!</f>
        <v>#REF!</v>
      </c>
      <c r="F13" s="63" t="e">
        <f t="shared" si="0"/>
        <v>#REF!</v>
      </c>
    </row>
    <row r="14" spans="1:6" ht="15.75">
      <c r="A14" s="99">
        <v>11</v>
      </c>
      <c r="B14" s="44" t="s">
        <v>46</v>
      </c>
      <c r="C14" s="45" t="s">
        <v>21</v>
      </c>
      <c r="D14" s="41">
        <f>'Лесная 3а'!B13</f>
        <v>693313.56</v>
      </c>
      <c r="E14" s="41">
        <f>'Лесная 3а'!B15</f>
        <v>693249.57247999997</v>
      </c>
      <c r="F14" s="63">
        <f t="shared" si="0"/>
        <v>63.987520000082441</v>
      </c>
    </row>
    <row r="15" spans="1:6" ht="15.75">
      <c r="A15" s="99">
        <v>12</v>
      </c>
      <c r="B15" s="44" t="s">
        <v>47</v>
      </c>
      <c r="C15" s="43">
        <v>4</v>
      </c>
      <c r="D15" s="41">
        <f>'Пионерская 4 '!B10</f>
        <v>37288.67</v>
      </c>
      <c r="E15" s="41">
        <f>'Пионерская 4 '!B12</f>
        <v>48966.96</v>
      </c>
      <c r="F15" s="63">
        <f t="shared" si="0"/>
        <v>-11678.29</v>
      </c>
    </row>
    <row r="16" spans="1:6" ht="15.75">
      <c r="A16" s="99">
        <v>13</v>
      </c>
      <c r="B16" s="44" t="s">
        <v>47</v>
      </c>
      <c r="C16" s="43">
        <v>6</v>
      </c>
      <c r="D16" s="41">
        <f>'Пионерская 6'!C11</f>
        <v>118075.07</v>
      </c>
      <c r="E16" s="41">
        <f>'Пионерская 6'!C13</f>
        <v>139515.71159999998</v>
      </c>
      <c r="F16" s="63">
        <f t="shared" si="0"/>
        <v>-21440.641599999974</v>
      </c>
    </row>
    <row r="17" spans="1:6" ht="15.75">
      <c r="A17" s="99">
        <v>14</v>
      </c>
      <c r="B17" s="44" t="s">
        <v>47</v>
      </c>
      <c r="C17" s="43">
        <v>14</v>
      </c>
      <c r="D17" s="41">
        <f>'Пионерская 14'!B11</f>
        <v>272805.40000000002</v>
      </c>
      <c r="E17" s="41">
        <f>'Пионерская 14'!B13</f>
        <v>251165.33564000003</v>
      </c>
      <c r="F17" s="63">
        <f t="shared" si="0"/>
        <v>21640.064359999989</v>
      </c>
    </row>
    <row r="18" spans="1:6" ht="15.75">
      <c r="A18" s="99">
        <v>15</v>
      </c>
      <c r="B18" s="44" t="s">
        <v>47</v>
      </c>
      <c r="C18" s="43">
        <v>16</v>
      </c>
      <c r="D18" s="41">
        <f>'Пионерская 16'!B11</f>
        <v>272383.87</v>
      </c>
      <c r="E18" s="41">
        <f>'Пионерская 16'!B13</f>
        <v>274650.38215999998</v>
      </c>
      <c r="F18" s="63">
        <f t="shared" si="0"/>
        <v>-2266.5121599999839</v>
      </c>
    </row>
    <row r="19" spans="1:6" ht="15.75">
      <c r="A19" s="99">
        <v>16</v>
      </c>
      <c r="B19" s="44" t="s">
        <v>47</v>
      </c>
      <c r="C19" s="43">
        <v>18</v>
      </c>
      <c r="D19" s="41">
        <f>'Пионерская 18'!B10</f>
        <v>273982.7</v>
      </c>
      <c r="E19" s="41">
        <f>'Пионерская 18'!B12</f>
        <v>281225.46999999997</v>
      </c>
      <c r="F19" s="63">
        <f t="shared" si="0"/>
        <v>-7242.7699999999604</v>
      </c>
    </row>
    <row r="20" spans="1:6" ht="15.75">
      <c r="A20" s="99">
        <v>17</v>
      </c>
      <c r="B20" s="44" t="s">
        <v>47</v>
      </c>
      <c r="C20" s="43">
        <v>20</v>
      </c>
      <c r="D20" s="41">
        <f>'Пионерская 20'!B12</f>
        <v>218623.88</v>
      </c>
      <c r="E20" s="41">
        <f>'Пионерская 20'!B14</f>
        <v>243409.95</v>
      </c>
      <c r="F20" s="63">
        <f t="shared" si="0"/>
        <v>-24786.070000000007</v>
      </c>
    </row>
    <row r="21" spans="1:6" ht="15.75">
      <c r="A21" s="99">
        <v>18</v>
      </c>
      <c r="B21" s="44" t="s">
        <v>47</v>
      </c>
      <c r="C21" s="43" t="s">
        <v>26</v>
      </c>
      <c r="D21" s="41">
        <f>'Пионерская 24а'!C11</f>
        <v>246194.79</v>
      </c>
      <c r="E21" s="41">
        <f>'Пионерская 24а'!C13</f>
        <v>275956.5</v>
      </c>
      <c r="F21" s="63">
        <f t="shared" si="0"/>
        <v>-29761.709999999992</v>
      </c>
    </row>
    <row r="22" spans="1:6" ht="15.75">
      <c r="A22" s="99">
        <v>19</v>
      </c>
      <c r="B22" s="44" t="s">
        <v>64</v>
      </c>
      <c r="C22" s="43">
        <v>2</v>
      </c>
      <c r="D22" s="41">
        <f>'Пионерская 2а'!B10</f>
        <v>94090.23</v>
      </c>
      <c r="E22" s="41">
        <f>'Пионерская 2а'!B12</f>
        <v>88772</v>
      </c>
      <c r="F22" s="63">
        <f t="shared" si="0"/>
        <v>5318.2299999999959</v>
      </c>
    </row>
    <row r="23" spans="1:6" ht="15.75">
      <c r="A23" s="99">
        <v>20</v>
      </c>
      <c r="B23" s="44" t="s">
        <v>27</v>
      </c>
      <c r="C23" s="43" t="s">
        <v>20</v>
      </c>
      <c r="D23" s="41">
        <f>'Пушкина 2а'!B13</f>
        <v>1324603.04</v>
      </c>
      <c r="E23" s="41">
        <f>'Пушкина 2а'!B15</f>
        <v>1193880.55</v>
      </c>
      <c r="F23" s="63">
        <f t="shared" si="0"/>
        <v>130722.48999999999</v>
      </c>
    </row>
    <row r="24" spans="1:6" ht="15.75">
      <c r="A24" s="99">
        <v>21</v>
      </c>
      <c r="B24" s="44" t="s">
        <v>27</v>
      </c>
      <c r="C24" s="43" t="s">
        <v>21</v>
      </c>
      <c r="D24" s="41">
        <f>'Пушкина 3а'!B11</f>
        <v>627180.53</v>
      </c>
      <c r="E24" s="41">
        <f>'Пушкина 3а'!B13</f>
        <v>603087.85999999987</v>
      </c>
      <c r="F24" s="63">
        <f t="shared" si="0"/>
        <v>24092.670000000158</v>
      </c>
    </row>
    <row r="25" spans="1:6" ht="15.75">
      <c r="A25" s="99">
        <v>22</v>
      </c>
      <c r="B25" s="44" t="s">
        <v>27</v>
      </c>
      <c r="C25" s="43" t="s">
        <v>25</v>
      </c>
      <c r="D25" s="41">
        <f>'Пушкина 4а'!B11</f>
        <v>680356.53</v>
      </c>
      <c r="E25" s="41">
        <f>'Пушкина 4а'!B13</f>
        <v>585974.21720000007</v>
      </c>
      <c r="F25" s="63">
        <f t="shared" si="0"/>
        <v>94382.312799999956</v>
      </c>
    </row>
    <row r="26" spans="1:6" ht="15.75">
      <c r="A26" s="99">
        <v>23</v>
      </c>
      <c r="B26" s="44" t="s">
        <v>27</v>
      </c>
      <c r="C26" s="43" t="s">
        <v>22</v>
      </c>
      <c r="D26" s="41">
        <f>'Пушкина 5а'!B12</f>
        <v>780979.73</v>
      </c>
      <c r="E26" s="41">
        <f>'Пушкина 5а'!B14</f>
        <v>617723.26199999999</v>
      </c>
      <c r="F26" s="63">
        <f t="shared" si="0"/>
        <v>163256.46799999999</v>
      </c>
    </row>
    <row r="27" spans="1:6" ht="15.75">
      <c r="A27" s="99">
        <v>24</v>
      </c>
      <c r="B27" s="44" t="s">
        <v>27</v>
      </c>
      <c r="C27" s="43" t="s">
        <v>28</v>
      </c>
      <c r="D27" s="41">
        <f>'Пушкина 6а'!B11</f>
        <v>606449.82999999996</v>
      </c>
      <c r="E27" s="41">
        <f>'Пушкина 6а'!B13</f>
        <v>900457.91472000012</v>
      </c>
      <c r="F27" s="63">
        <f t="shared" si="0"/>
        <v>-294008.08472000016</v>
      </c>
    </row>
    <row r="28" spans="1:6" ht="15.75">
      <c r="A28" s="99">
        <v>25</v>
      </c>
      <c r="B28" s="44" t="s">
        <v>27</v>
      </c>
      <c r="C28" s="43" t="s">
        <v>29</v>
      </c>
      <c r="D28" s="41">
        <f>'Пушкина 7а'!B11</f>
        <v>696542.15</v>
      </c>
      <c r="E28" s="41">
        <f>'Пушкина 7а'!B13</f>
        <v>955095.18</v>
      </c>
      <c r="F28" s="63">
        <f t="shared" si="0"/>
        <v>-258553.03000000003</v>
      </c>
    </row>
    <row r="29" spans="1:6" ht="15.75">
      <c r="A29" s="99">
        <v>26</v>
      </c>
      <c r="B29" s="44" t="s">
        <v>27</v>
      </c>
      <c r="C29" s="43" t="s">
        <v>17</v>
      </c>
      <c r="D29" s="41">
        <f>'Пушкина 11а'!B12</f>
        <v>887204.04</v>
      </c>
      <c r="E29" s="41">
        <f>'Пушкина 11а'!B14</f>
        <v>872051.35</v>
      </c>
      <c r="F29" s="63">
        <f t="shared" si="0"/>
        <v>15152.690000000061</v>
      </c>
    </row>
    <row r="30" spans="1:6" ht="15.75">
      <c r="A30" s="99">
        <v>27</v>
      </c>
      <c r="B30" s="44" t="s">
        <v>27</v>
      </c>
      <c r="C30" s="43" t="s">
        <v>30</v>
      </c>
      <c r="D30" s="41">
        <f>'Пушкина 30а'!B12</f>
        <v>735640.62</v>
      </c>
      <c r="E30" s="41">
        <f>'Пушкина 30а'!B14</f>
        <v>598312.81999999995</v>
      </c>
      <c r="F30" s="63">
        <f t="shared" si="0"/>
        <v>137327.80000000005</v>
      </c>
    </row>
    <row r="31" spans="1:6" ht="15.75">
      <c r="A31" s="99">
        <v>28</v>
      </c>
      <c r="B31" s="44" t="s">
        <v>31</v>
      </c>
      <c r="C31" s="43" t="s">
        <v>32</v>
      </c>
      <c r="D31" s="41">
        <f>'Строительная 28а'!B12</f>
        <v>571791.11</v>
      </c>
      <c r="E31" s="41">
        <f>'Строительная 28а'!B14</f>
        <v>518482.83</v>
      </c>
      <c r="F31" s="63">
        <f t="shared" si="0"/>
        <v>53308.27999999997</v>
      </c>
    </row>
    <row r="32" spans="1:6" s="36" customFormat="1" ht="15.75">
      <c r="A32" s="46"/>
      <c r="B32" s="47" t="s">
        <v>33</v>
      </c>
      <c r="C32" s="48"/>
      <c r="D32" s="49" t="e">
        <f t="shared" ref="D32:F32" si="1">SUM(D4:D31)</f>
        <v>#REF!</v>
      </c>
      <c r="E32" s="49" t="e">
        <f t="shared" si="1"/>
        <v>#REF!</v>
      </c>
      <c r="F32" s="66" t="e">
        <f t="shared" si="1"/>
        <v>#REF!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R28"/>
  <sheetViews>
    <sheetView view="pageBreakPreview" zoomScale="60" zoomScaleNormal="100" workbookViewId="0">
      <selection activeCell="A24" sqref="A24"/>
    </sheetView>
  </sheetViews>
  <sheetFormatPr defaultRowHeight="15"/>
  <cols>
    <col min="1" max="1" width="76.85546875" customWidth="1"/>
    <col min="2" max="2" width="15.7109375" customWidth="1"/>
    <col min="4" max="4" width="13.140625" customWidth="1"/>
  </cols>
  <sheetData>
    <row r="1" spans="1:252" s="4" customFormat="1"/>
    <row r="2" spans="1:252" s="12" customFormat="1" ht="40.5" customHeight="1">
      <c r="A2" s="121" t="s">
        <v>81</v>
      </c>
      <c r="B2" s="17"/>
      <c r="IR2" s="4"/>
    </row>
    <row r="3" spans="1:252" s="12" customFormat="1" ht="46.5" customHeight="1">
      <c r="A3" s="90" t="s">
        <v>56</v>
      </c>
      <c r="B3" s="100" t="s">
        <v>66</v>
      </c>
      <c r="IR3" s="4"/>
    </row>
    <row r="4" spans="1:252" s="4" customFormat="1">
      <c r="A4" s="68" t="s">
        <v>3</v>
      </c>
      <c r="B4" s="102">
        <v>899.7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pans="1:252" s="4" customFormat="1">
      <c r="A5" s="22" t="s">
        <v>4</v>
      </c>
      <c r="B5" s="102">
        <v>20.51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2" s="4" customFormat="1">
      <c r="A6" s="23" t="s">
        <v>110</v>
      </c>
      <c r="B6" s="103">
        <v>91075.7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2" s="4" customFormat="1">
      <c r="A7" s="23" t="s">
        <v>35</v>
      </c>
      <c r="B7" s="103">
        <v>221434.32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</row>
    <row r="8" spans="1:252" s="4" customFormat="1">
      <c r="A8" s="23" t="s">
        <v>5</v>
      </c>
      <c r="B8" s="103">
        <v>2013.92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</row>
    <row r="9" spans="1:252" s="4" customFormat="1">
      <c r="A9" s="23" t="s">
        <v>69</v>
      </c>
      <c r="B9" s="103">
        <v>194645.67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</row>
    <row r="10" spans="1:252" s="4" customFormat="1">
      <c r="A10" s="23" t="s">
        <v>109</v>
      </c>
      <c r="B10" s="103">
        <f>B6+B7+B8-B9</f>
        <v>119878.26999999999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</row>
    <row r="11" spans="1:252" s="4" customFormat="1" ht="21" customHeight="1">
      <c r="A11" s="69" t="s">
        <v>107</v>
      </c>
      <c r="B11" s="102">
        <f>B9</f>
        <v>194645.67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</row>
    <row r="12" spans="1:252" s="4" customFormat="1">
      <c r="A12" s="12"/>
      <c r="B12" s="10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</row>
    <row r="13" spans="1:252" s="4" customFormat="1">
      <c r="A13" s="22" t="s">
        <v>108</v>
      </c>
      <c r="B13" s="102">
        <f>B15+B16+B17+B18+B19+B21+B22+B23</f>
        <v>181566.965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</row>
    <row r="14" spans="1:252" s="4" customFormat="1">
      <c r="A14" s="23" t="s">
        <v>6</v>
      </c>
      <c r="B14" s="10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</row>
    <row r="15" spans="1:252" s="4" customFormat="1">
      <c r="A15" s="23" t="s">
        <v>2</v>
      </c>
      <c r="B15" s="103">
        <f>3.19*B4*12</f>
        <v>34440.516000000003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</row>
    <row r="16" spans="1:252" s="4" customFormat="1">
      <c r="A16" s="23" t="s">
        <v>1</v>
      </c>
      <c r="B16" s="103">
        <f>12*4.68*B4</f>
        <v>50527.152000000002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</row>
    <row r="17" spans="1:251" s="4" customFormat="1">
      <c r="A17" s="23" t="s">
        <v>14</v>
      </c>
      <c r="B17" s="103">
        <f>0.33*B4*12</f>
        <v>3562.8119999999999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</row>
    <row r="18" spans="1:251" s="4" customFormat="1">
      <c r="A18" s="23" t="s">
        <v>7</v>
      </c>
      <c r="B18" s="103">
        <v>11819.71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</row>
    <row r="19" spans="1:251" s="2" customFormat="1">
      <c r="A19" s="23" t="s">
        <v>12</v>
      </c>
      <c r="B19" s="103">
        <v>4534.49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s="2" customFormat="1">
      <c r="A20" s="23" t="s">
        <v>9</v>
      </c>
      <c r="B20" s="103">
        <v>145.5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s="2" customFormat="1">
      <c r="A21" s="23" t="s">
        <v>10</v>
      </c>
      <c r="B21" s="103">
        <f>B20*316.25</f>
        <v>46014.375</v>
      </c>
      <c r="C21" s="17"/>
      <c r="D21" s="2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</row>
    <row r="22" spans="1:251" s="2" customFormat="1">
      <c r="A22" s="23" t="s">
        <v>76</v>
      </c>
      <c r="B22" s="103">
        <v>25173.24</v>
      </c>
      <c r="C22" s="17"/>
      <c r="D22" s="2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</row>
    <row r="23" spans="1:251" s="4" customFormat="1">
      <c r="A23" s="23" t="s">
        <v>115</v>
      </c>
      <c r="B23" s="103">
        <v>5494.67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</row>
    <row r="24" spans="1:251" s="4" customFormat="1">
      <c r="A24" s="23" t="s">
        <v>70</v>
      </c>
      <c r="B24" s="103">
        <v>91075.7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</row>
    <row r="25" spans="1:251" s="4" customFormat="1">
      <c r="A25" s="23" t="s">
        <v>120</v>
      </c>
      <c r="B25" s="103">
        <f>B11-B13-B24</f>
        <v>-77996.994999999981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</row>
    <row r="26" spans="1:251" s="4" customFormat="1">
      <c r="A26" s="17"/>
      <c r="B26" s="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</row>
    <row r="27" spans="1:251" s="4" customFormat="1">
      <c r="A27" s="75" t="s">
        <v>11</v>
      </c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s="4" customFormat="1"/>
  </sheetData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S32"/>
  <sheetViews>
    <sheetView zoomScaleNormal="100" workbookViewId="0">
      <selection activeCell="D21" sqref="D21"/>
    </sheetView>
  </sheetViews>
  <sheetFormatPr defaultRowHeight="15"/>
  <cols>
    <col min="1" max="1" width="73.28515625" customWidth="1"/>
    <col min="2" max="2" width="16" customWidth="1"/>
  </cols>
  <sheetData>
    <row r="1" spans="1:253" s="4" customFormat="1"/>
    <row r="2" spans="1:253" s="12" customFormat="1" ht="43.5" customHeight="1">
      <c r="A2" s="143" t="s">
        <v>82</v>
      </c>
      <c r="B2" s="143"/>
      <c r="IS2" s="4"/>
    </row>
    <row r="3" spans="1:253" s="92" customFormat="1" ht="43.5" customHeight="1">
      <c r="A3" s="7" t="s">
        <v>57</v>
      </c>
      <c r="B3" s="7" t="s">
        <v>66</v>
      </c>
      <c r="IS3" s="93"/>
    </row>
    <row r="4" spans="1:253" s="4" customFormat="1">
      <c r="A4" s="22" t="s">
        <v>3</v>
      </c>
      <c r="B4" s="102">
        <v>2596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pans="1:253" s="4" customFormat="1">
      <c r="A5" s="22" t="s">
        <v>4</v>
      </c>
      <c r="B5" s="102">
        <v>21.88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3" s="2" customFormat="1">
      <c r="A6" s="23" t="s">
        <v>70</v>
      </c>
      <c r="B6" s="103">
        <v>131179.04999999999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</row>
    <row r="7" spans="1:253" s="2" customFormat="1">
      <c r="A7" s="23" t="s">
        <v>35</v>
      </c>
      <c r="B7" s="103">
        <v>646658.4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</row>
    <row r="8" spans="1:253" s="2" customFormat="1">
      <c r="A8" s="23" t="s">
        <v>51</v>
      </c>
      <c r="B8" s="103">
        <v>4274.88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</row>
    <row r="9" spans="1:253" s="2" customFormat="1">
      <c r="A9" s="23" t="s">
        <v>5</v>
      </c>
      <c r="B9" s="103">
        <v>3973.4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</row>
    <row r="10" spans="1:253" s="2" customFormat="1">
      <c r="A10" s="23" t="s">
        <v>113</v>
      </c>
      <c r="B10" s="103">
        <v>9657.15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</row>
    <row r="11" spans="1:253" s="2" customFormat="1">
      <c r="A11" s="23" t="s">
        <v>69</v>
      </c>
      <c r="B11" s="103">
        <v>693313.56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</row>
    <row r="12" spans="1:253" s="2" customFormat="1">
      <c r="A12" s="23" t="s">
        <v>109</v>
      </c>
      <c r="B12" s="103">
        <f>B6+B7+B8+B9+B10-B11</f>
        <v>102429.31999999995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</row>
    <row r="13" spans="1:253" s="2" customFormat="1" ht="16.5" customHeight="1">
      <c r="A13" s="69" t="s">
        <v>107</v>
      </c>
      <c r="B13" s="102">
        <f>B11</f>
        <v>693313.56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</row>
    <row r="14" spans="1:253" s="4" customFormat="1">
      <c r="A14" s="12"/>
      <c r="B14" s="10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pans="1:253" s="2" customFormat="1">
      <c r="A15" s="22" t="s">
        <v>108</v>
      </c>
      <c r="B15" s="102">
        <f>B17+B18+B19+B20+B21+B23+B24+B25+B26+B27</f>
        <v>693249.57247999997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3" s="2" customFormat="1">
      <c r="A16" s="23" t="s">
        <v>6</v>
      </c>
      <c r="B16" s="103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s="2" customFormat="1">
      <c r="A17" s="23" t="s">
        <v>2</v>
      </c>
      <c r="B17" s="103">
        <f>3.19*12*B4</f>
        <v>99374.88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2" customFormat="1">
      <c r="A18" s="23" t="s">
        <v>14</v>
      </c>
      <c r="B18" s="103">
        <f>0.33*12*B4</f>
        <v>10280.16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2" customFormat="1">
      <c r="A19" s="23" t="s">
        <v>1</v>
      </c>
      <c r="B19" s="103">
        <f>3.7*12*B4</f>
        <v>115262.40000000001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2" customFormat="1">
      <c r="A20" s="23" t="s">
        <v>7</v>
      </c>
      <c r="B20" s="103">
        <v>14526.45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2" customFormat="1">
      <c r="A21" s="23" t="s">
        <v>8</v>
      </c>
      <c r="B21" s="103">
        <f>0.9*9100*12*1.302*1.13*1.6</f>
        <v>231352.69247999997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4" customFormat="1">
      <c r="A22" s="23" t="s">
        <v>9</v>
      </c>
      <c r="B22" s="103">
        <v>625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spans="1:252" s="4" customFormat="1">
      <c r="A23" s="23" t="s">
        <v>10</v>
      </c>
      <c r="B23" s="103">
        <f>B22*130*1.302*1.4</f>
        <v>148102.5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spans="1:252" s="4" customFormat="1">
      <c r="A24" s="23" t="s">
        <v>75</v>
      </c>
      <c r="B24" s="103">
        <v>4274.88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spans="1:252" s="2" customFormat="1">
      <c r="A25" s="23" t="s">
        <v>76</v>
      </c>
      <c r="B25" s="103">
        <v>29275.14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2" customFormat="1">
      <c r="A26" s="23" t="s">
        <v>117</v>
      </c>
      <c r="B26" s="103">
        <v>9657.15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s="2" customFormat="1">
      <c r="A27" s="23" t="s">
        <v>115</v>
      </c>
      <c r="B27" s="103">
        <v>31143.32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s="2" customFormat="1">
      <c r="A28" s="23" t="s">
        <v>70</v>
      </c>
      <c r="B28" s="103">
        <f>B6</f>
        <v>131179.04999999999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s="2" customFormat="1">
      <c r="A29" s="130" t="s">
        <v>120</v>
      </c>
      <c r="B29" s="103">
        <f>B13-B15-B28</f>
        <v>-131115.06247999991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</row>
    <row r="30" spans="1:252" s="2" customFormat="1">
      <c r="A30" s="34"/>
      <c r="B30" s="3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</row>
    <row r="31" spans="1:252" s="71" customFormat="1">
      <c r="A31" s="70" t="s">
        <v>11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</row>
    <row r="32" spans="1:252" s="4" customFormat="1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28"/>
  <sheetViews>
    <sheetView zoomScaleNormal="100" workbookViewId="0">
      <selection activeCell="E25" sqref="E25"/>
    </sheetView>
  </sheetViews>
  <sheetFormatPr defaultRowHeight="15"/>
  <cols>
    <col min="1" max="1" width="73.85546875" customWidth="1"/>
    <col min="2" max="2" width="0.140625" customWidth="1"/>
    <col min="3" max="3" width="14.85546875" customWidth="1"/>
  </cols>
  <sheetData>
    <row r="1" spans="1:253" s="8" customFormat="1"/>
    <row r="2" spans="1:253" s="17" customFormat="1" ht="43.5" customHeight="1">
      <c r="A2" s="121" t="s">
        <v>83</v>
      </c>
      <c r="IQ2" s="2"/>
    </row>
    <row r="3" spans="1:253" s="92" customFormat="1" ht="43.5" customHeight="1">
      <c r="A3" s="7" t="s">
        <v>57</v>
      </c>
      <c r="B3" s="7" t="s">
        <v>58</v>
      </c>
      <c r="C3" s="27" t="s">
        <v>66</v>
      </c>
      <c r="IS3" s="93"/>
    </row>
    <row r="4" spans="1:253" s="2" customFormat="1">
      <c r="A4" s="11" t="s">
        <v>13</v>
      </c>
      <c r="B4" s="17"/>
      <c r="C4" s="102">
        <v>781.4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</row>
    <row r="5" spans="1:253" s="2" customFormat="1">
      <c r="A5" s="11" t="s">
        <v>4</v>
      </c>
      <c r="B5" s="17"/>
      <c r="C5" s="102">
        <v>27.8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</row>
    <row r="6" spans="1:253" s="2" customFormat="1">
      <c r="A6" s="10" t="s">
        <v>70</v>
      </c>
      <c r="B6" s="17"/>
      <c r="C6" s="103">
        <v>172910.12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</row>
    <row r="7" spans="1:253" s="2" customFormat="1">
      <c r="A7" s="10" t="s">
        <v>67</v>
      </c>
      <c r="B7" s="17"/>
      <c r="C7" s="103">
        <v>260675.04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</row>
    <row r="8" spans="1:253" s="2" customFormat="1">
      <c r="A8" s="10" t="s">
        <v>51</v>
      </c>
      <c r="B8" s="17"/>
      <c r="C8" s="103">
        <v>3250.08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</row>
    <row r="9" spans="1:253" s="2" customFormat="1">
      <c r="A9" s="10" t="s">
        <v>39</v>
      </c>
      <c r="B9" s="17"/>
      <c r="C9" s="103">
        <v>246194.79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</row>
    <row r="10" spans="1:253" s="2" customFormat="1">
      <c r="A10" s="10" t="s">
        <v>109</v>
      </c>
      <c r="B10" s="17"/>
      <c r="C10" s="103">
        <v>189067.09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</row>
    <row r="11" spans="1:253" s="2" customFormat="1" ht="22.5" customHeight="1">
      <c r="A11" s="18" t="s">
        <v>107</v>
      </c>
      <c r="B11" s="28"/>
      <c r="C11" s="102">
        <f>C9</f>
        <v>246194.79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</row>
    <row r="12" spans="1:253" s="8" customFormat="1">
      <c r="A12" s="24"/>
      <c r="B12" s="24"/>
      <c r="C12" s="10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3" s="2" customFormat="1">
      <c r="A13" s="11" t="s">
        <v>108</v>
      </c>
      <c r="B13" s="17"/>
      <c r="C13" s="102">
        <v>275956.5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</row>
    <row r="14" spans="1:253" s="2" customFormat="1">
      <c r="A14" s="10" t="s">
        <v>6</v>
      </c>
      <c r="B14" s="17"/>
      <c r="C14" s="103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</row>
    <row r="15" spans="1:253" s="2" customFormat="1">
      <c r="A15" s="10" t="s">
        <v>2</v>
      </c>
      <c r="B15" s="17"/>
      <c r="C15" s="103">
        <f>1.28*C4*12</f>
        <v>12002.304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</row>
    <row r="16" spans="1:253" s="8" customFormat="1">
      <c r="A16" s="10" t="s">
        <v>73</v>
      </c>
      <c r="B16" s="24"/>
      <c r="C16" s="103">
        <v>178073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</row>
    <row r="17" spans="1:250" s="2" customFormat="1">
      <c r="A17" s="10" t="s">
        <v>14</v>
      </c>
      <c r="B17" s="17"/>
      <c r="C17" s="103">
        <f>0.33*C4*12</f>
        <v>3094.3440000000001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</row>
    <row r="18" spans="1:250" s="2" customFormat="1">
      <c r="A18" s="10" t="s">
        <v>1</v>
      </c>
      <c r="B18" s="17"/>
      <c r="C18" s="103">
        <v>32154.25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</row>
    <row r="19" spans="1:250" s="2" customFormat="1">
      <c r="A19" s="10" t="s">
        <v>7</v>
      </c>
      <c r="B19" s="17"/>
      <c r="C19" s="103">
        <v>11316.37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</row>
    <row r="20" spans="1:250" s="2" customFormat="1">
      <c r="A20" s="10" t="s">
        <v>49</v>
      </c>
      <c r="B20" s="17"/>
      <c r="C20" s="103">
        <f>0.02*9100*13*1.302*1.3</f>
        <v>4004.6916000000006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</row>
    <row r="21" spans="1:250" s="2" customFormat="1">
      <c r="A21" s="10" t="s">
        <v>9</v>
      </c>
      <c r="B21" s="17"/>
      <c r="C21" s="103">
        <v>136.19999999999999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</row>
    <row r="22" spans="1:250" s="2" customFormat="1">
      <c r="A22" s="10" t="s">
        <v>10</v>
      </c>
      <c r="B22" s="17"/>
      <c r="C22" s="103">
        <f>C21*130*1.302*1.2</f>
        <v>27663.8544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</row>
    <row r="23" spans="1:250" s="2" customFormat="1">
      <c r="A23" s="10" t="s">
        <v>75</v>
      </c>
      <c r="B23" s="17"/>
      <c r="C23" s="103">
        <f>C8</f>
        <v>3250.08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</row>
    <row r="24" spans="1:250" s="2" customFormat="1">
      <c r="A24" s="10" t="s">
        <v>115</v>
      </c>
      <c r="B24" s="17"/>
      <c r="C24" s="103">
        <v>4397.62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</row>
    <row r="25" spans="1:250" s="2" customFormat="1">
      <c r="A25" s="10" t="s">
        <v>120</v>
      </c>
      <c r="B25" s="17"/>
      <c r="C25" s="103">
        <f>C11-C13</f>
        <v>-29761.709999999992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</row>
    <row r="26" spans="1:250" s="8" customFormat="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</row>
    <row r="27" spans="1:250" s="8" customFormat="1">
      <c r="A27" s="89" t="s">
        <v>11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</row>
    <row r="28" spans="1:250" s="8" customFormat="1"/>
  </sheetData>
  <pageMargins left="0.70866141732283472" right="0.70866141732283472" top="0.74803149606299213" bottom="0.74803149606299213" header="0.31496062992125984" footer="0.31496062992125984"/>
  <pageSetup paperSize="9" scale="98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32"/>
  <sheetViews>
    <sheetView zoomScaleNormal="100" workbookViewId="0">
      <selection activeCell="B16" sqref="B16"/>
    </sheetView>
  </sheetViews>
  <sheetFormatPr defaultRowHeight="15"/>
  <cols>
    <col min="1" max="1" width="75.28515625" customWidth="1"/>
    <col min="2" max="2" width="15.7109375" customWidth="1"/>
  </cols>
  <sheetData>
    <row r="1" spans="1:253" s="4" customFormat="1">
      <c r="A1" s="6"/>
    </row>
    <row r="2" spans="1:253" s="12" customFormat="1" ht="43.5" customHeight="1">
      <c r="A2" s="143" t="s">
        <v>84</v>
      </c>
      <c r="B2" s="143"/>
      <c r="IS2" s="4"/>
    </row>
    <row r="3" spans="1:253" s="92" customFormat="1" ht="43.5" customHeight="1">
      <c r="A3" s="7" t="s">
        <v>57</v>
      </c>
      <c r="B3" s="7" t="s">
        <v>66</v>
      </c>
      <c r="IR3" s="93"/>
    </row>
    <row r="4" spans="1:253" s="4" customFormat="1">
      <c r="A4" s="11" t="s">
        <v>13</v>
      </c>
      <c r="B4" s="102">
        <v>736.8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pans="1:253" s="4" customFormat="1">
      <c r="A5" s="11" t="s">
        <v>4</v>
      </c>
      <c r="B5" s="102">
        <v>35.69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3" s="4" customFormat="1">
      <c r="A6" s="10" t="s">
        <v>70</v>
      </c>
      <c r="B6" s="103">
        <v>327192.27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pans="1:253" s="4" customFormat="1">
      <c r="A7" s="10" t="s">
        <v>35</v>
      </c>
      <c r="B7" s="103">
        <v>315557.03999999998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spans="1:253" s="4" customFormat="1">
      <c r="A8" s="10" t="s">
        <v>51</v>
      </c>
      <c r="B8" s="103">
        <v>8692.5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spans="1:253" s="4" customFormat="1">
      <c r="A9" s="10" t="s">
        <v>5</v>
      </c>
      <c r="B9" s="103">
        <v>1621.1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spans="1:253" s="4" customFormat="1">
      <c r="A10" s="10" t="s">
        <v>39</v>
      </c>
      <c r="B10" s="103">
        <v>218623.88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spans="1:253" s="4" customFormat="1">
      <c r="A11" s="10" t="s">
        <v>109</v>
      </c>
      <c r="B11" s="103">
        <f>B6+B7+B8+B9-B10</f>
        <v>434439.03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3" s="4" customFormat="1" ht="22.5" customHeight="1">
      <c r="A12" s="18" t="s">
        <v>107</v>
      </c>
      <c r="B12" s="102">
        <f>B10</f>
        <v>218623.88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3" s="4" customFormat="1">
      <c r="A13" s="12"/>
      <c r="B13" s="108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pans="1:253" s="2" customFormat="1">
      <c r="A14" s="11" t="s">
        <v>108</v>
      </c>
      <c r="B14" s="102">
        <v>243409.95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3" s="2" customFormat="1">
      <c r="A15" s="10" t="s">
        <v>6</v>
      </c>
      <c r="B15" s="103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3" s="2" customFormat="1">
      <c r="A16" s="10" t="s">
        <v>2</v>
      </c>
      <c r="B16" s="103">
        <f>1.28*12*B4</f>
        <v>11317.248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s="2" customFormat="1">
      <c r="A17" s="10" t="s">
        <v>37</v>
      </c>
      <c r="B17" s="103">
        <v>119246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2" customFormat="1">
      <c r="A18" s="10" t="s">
        <v>14</v>
      </c>
      <c r="B18" s="103">
        <f>0.33*B4*12*1.25</f>
        <v>3647.16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2" customFormat="1">
      <c r="A19" s="10" t="s">
        <v>1</v>
      </c>
      <c r="B19" s="103">
        <v>41030.58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2" customFormat="1">
      <c r="A20" s="10" t="s">
        <v>7</v>
      </c>
      <c r="B20" s="103">
        <v>10632.4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2" customFormat="1">
      <c r="A21" s="10" t="s">
        <v>12</v>
      </c>
      <c r="B21" s="103">
        <f>0.02*9100*13*1.302*1.25</f>
        <v>3850.665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2" customFormat="1">
      <c r="A22" s="10" t="s">
        <v>9</v>
      </c>
      <c r="B22" s="103">
        <v>192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s="2" customFormat="1">
      <c r="A23" s="10" t="s">
        <v>10</v>
      </c>
      <c r="B23" s="103">
        <f>B22*130*1.302*1.25</f>
        <v>40622.400000000001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2" customFormat="1">
      <c r="A24" s="10" t="s">
        <v>75</v>
      </c>
      <c r="B24" s="103">
        <v>8692.5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2" customFormat="1">
      <c r="A25" s="10" t="s">
        <v>76</v>
      </c>
      <c r="B25" s="103">
        <v>1228.58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2" customFormat="1">
      <c r="A26" s="10" t="s">
        <v>115</v>
      </c>
      <c r="B26" s="103">
        <v>3142.41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s="2" customFormat="1">
      <c r="A27" s="10" t="s">
        <v>120</v>
      </c>
      <c r="B27" s="103">
        <f>B12-B14</f>
        <v>-24786.070000000007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s="4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spans="1:252" s="4" customFormat="1">
      <c r="A29" s="85" t="s">
        <v>11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spans="1:252" s="4" customFormat="1"/>
    <row r="31" spans="1:252" s="4" customFormat="1"/>
    <row r="32" spans="1:252" s="4" customFormat="1"/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0" fitToWidth="2" fitToHeight="2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26"/>
  <sheetViews>
    <sheetView zoomScaleNormal="100" workbookViewId="0">
      <selection activeCell="A14" sqref="A14"/>
    </sheetView>
  </sheetViews>
  <sheetFormatPr defaultRowHeight="15"/>
  <cols>
    <col min="1" max="1" width="82.85546875" customWidth="1"/>
    <col min="2" max="2" width="13.5703125" customWidth="1"/>
  </cols>
  <sheetData>
    <row r="1" spans="1:253" s="12" customFormat="1" ht="43.5" customHeight="1">
      <c r="A1" s="143" t="s">
        <v>85</v>
      </c>
      <c r="B1" s="143"/>
      <c r="IS1" s="4"/>
    </row>
    <row r="2" spans="1:253" s="92" customFormat="1" ht="43.5" customHeight="1">
      <c r="A2" s="7" t="s">
        <v>57</v>
      </c>
      <c r="B2" s="7" t="s">
        <v>66</v>
      </c>
      <c r="IR2" s="93"/>
    </row>
    <row r="3" spans="1:253" s="4" customFormat="1">
      <c r="A3" s="11" t="s">
        <v>13</v>
      </c>
      <c r="B3" s="102">
        <v>738.6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</row>
    <row r="4" spans="1:253" s="4" customFormat="1">
      <c r="A4" s="11" t="s">
        <v>4</v>
      </c>
      <c r="B4" s="102">
        <v>30.24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spans="1:253" s="4" customFormat="1">
      <c r="A5" s="10" t="s">
        <v>70</v>
      </c>
      <c r="B5" s="103">
        <v>16251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spans="1:253" s="4" customFormat="1">
      <c r="A6" s="10" t="s">
        <v>67</v>
      </c>
      <c r="B6" s="103">
        <v>268023.24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spans="1:253" s="2" customFormat="1">
      <c r="A7" s="10" t="s">
        <v>68</v>
      </c>
      <c r="B7" s="103">
        <v>1703.34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</row>
    <row r="8" spans="1:253" s="2" customFormat="1">
      <c r="A8" s="10" t="s">
        <v>39</v>
      </c>
      <c r="B8" s="103">
        <v>273982.7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</row>
    <row r="9" spans="1:253" s="2" customFormat="1">
      <c r="A9" s="10" t="s">
        <v>109</v>
      </c>
      <c r="B9" s="103">
        <f>B5+B6+B7-B8</f>
        <v>11994.880000000005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</row>
    <row r="10" spans="1:253" s="2" customFormat="1" ht="22.5" customHeight="1">
      <c r="A10" s="18" t="s">
        <v>107</v>
      </c>
      <c r="B10" s="102">
        <f>B8</f>
        <v>273982.7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</row>
    <row r="11" spans="1:253" s="4" customFormat="1">
      <c r="A11" s="12"/>
      <c r="B11" s="108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spans="1:253" s="4" customFormat="1">
      <c r="A12" s="11" t="s">
        <v>108</v>
      </c>
      <c r="B12" s="102">
        <v>281225.46999999997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spans="1:253" s="4" customFormat="1">
      <c r="A13" s="10" t="s">
        <v>6</v>
      </c>
      <c r="B13" s="103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spans="1:253" s="4" customFormat="1">
      <c r="A14" s="10" t="s">
        <v>2</v>
      </c>
      <c r="B14" s="103">
        <f>1.28*12*B3</f>
        <v>11344.896000000001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spans="1:253" s="2" customFormat="1">
      <c r="A15" s="10" t="s">
        <v>37</v>
      </c>
      <c r="B15" s="103">
        <v>153990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3" s="4" customFormat="1">
      <c r="A16" s="10" t="s">
        <v>14</v>
      </c>
      <c r="B16" s="103">
        <f>0.33*B3*12</f>
        <v>2924.8560000000002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spans="1:252" s="2" customFormat="1">
      <c r="A17" s="10" t="s">
        <v>1</v>
      </c>
      <c r="B17" s="103">
        <f>B3*12*3.44</f>
        <v>30489.408000000003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2" customFormat="1">
      <c r="A18" s="10" t="s">
        <v>7</v>
      </c>
      <c r="B18" s="103">
        <v>6910.2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2" customFormat="1">
      <c r="A19" s="10" t="s">
        <v>41</v>
      </c>
      <c r="B19" s="103">
        <f>0.02*9100*13*1.302*1.7</f>
        <v>5236.9044000000004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2" customFormat="1">
      <c r="A20" s="10" t="s">
        <v>9</v>
      </c>
      <c r="B20" s="103">
        <v>137.5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2" customFormat="1">
      <c r="A21" s="10" t="s">
        <v>10</v>
      </c>
      <c r="B21" s="103">
        <f>B20*130*1.302*2.7</f>
        <v>62837.775000000001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2" customFormat="1">
      <c r="A22" s="10" t="s">
        <v>76</v>
      </c>
      <c r="B22" s="103">
        <v>5344.92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s="2" customFormat="1">
      <c r="A23" s="10" t="s">
        <v>115</v>
      </c>
      <c r="B23" s="103">
        <v>2146.5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2" customFormat="1">
      <c r="A24" s="10" t="s">
        <v>120</v>
      </c>
      <c r="B24" s="103">
        <f>B10-B12</f>
        <v>-7242.7699999999604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4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spans="1:252" s="4" customFormat="1">
      <c r="A26" s="144" t="s">
        <v>11</v>
      </c>
      <c r="B26" s="144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</sheetData>
  <mergeCells count="2">
    <mergeCell ref="A1:B1"/>
    <mergeCell ref="A26:B26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29"/>
  <sheetViews>
    <sheetView zoomScaleNormal="100" workbookViewId="0">
      <selection activeCell="E21" sqref="E21"/>
    </sheetView>
  </sheetViews>
  <sheetFormatPr defaultRowHeight="15"/>
  <cols>
    <col min="1" max="1" width="79" customWidth="1"/>
    <col min="2" max="2" width="13" customWidth="1"/>
  </cols>
  <sheetData>
    <row r="1" spans="1:252" s="12" customFormat="1" ht="43.5" customHeight="1">
      <c r="A1" s="143" t="s">
        <v>86</v>
      </c>
      <c r="B1" s="143"/>
      <c r="IR1" s="4"/>
    </row>
    <row r="2" spans="1:252" s="92" customFormat="1" ht="43.5" customHeight="1">
      <c r="A2" s="7" t="s">
        <v>57</v>
      </c>
      <c r="B2" s="7" t="s">
        <v>66</v>
      </c>
      <c r="IR2" s="93"/>
    </row>
    <row r="3" spans="1:252" s="4" customFormat="1">
      <c r="A3" s="11" t="s">
        <v>13</v>
      </c>
      <c r="B3" s="106">
        <v>726.8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</row>
    <row r="4" spans="1:252" s="4" customFormat="1">
      <c r="A4" s="11" t="s">
        <v>4</v>
      </c>
      <c r="B4" s="106">
        <v>30.24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</row>
    <row r="5" spans="1:252" s="4" customFormat="1">
      <c r="A5" s="10" t="s">
        <v>70</v>
      </c>
      <c r="B5" s="107">
        <v>129120.37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2" s="4" customFormat="1">
      <c r="A6" s="10" t="s">
        <v>67</v>
      </c>
      <c r="B6" s="107">
        <v>263741.28000000003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2" s="4" customFormat="1">
      <c r="A7" s="10" t="s">
        <v>5</v>
      </c>
      <c r="B7" s="107">
        <v>1706.66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</row>
    <row r="8" spans="1:252" s="4" customFormat="1">
      <c r="A8" s="10" t="s">
        <v>51</v>
      </c>
      <c r="B8" s="107">
        <v>719.19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</row>
    <row r="9" spans="1:252" s="2" customFormat="1">
      <c r="A9" s="10" t="s">
        <v>39</v>
      </c>
      <c r="B9" s="107">
        <v>272383.87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</row>
    <row r="10" spans="1:252" s="2" customFormat="1">
      <c r="A10" s="10" t="s">
        <v>109</v>
      </c>
      <c r="B10" s="107">
        <v>122893.63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</row>
    <row r="11" spans="1:252" s="2" customFormat="1" ht="22.5" customHeight="1">
      <c r="A11" s="18" t="s">
        <v>107</v>
      </c>
      <c r="B11" s="106">
        <f>B9</f>
        <v>272383.87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</row>
    <row r="12" spans="1:252" s="4" customFormat="1">
      <c r="A12" s="12"/>
      <c r="B12" s="1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</row>
    <row r="13" spans="1:252" s="4" customFormat="1">
      <c r="A13" s="11" t="s">
        <v>108</v>
      </c>
      <c r="B13" s="106">
        <f>B15+B16+B17+B18+B19+B20+B22+B23+B24+B25</f>
        <v>274650.38215999998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</row>
    <row r="14" spans="1:252" s="2" customFormat="1">
      <c r="A14" s="10" t="s">
        <v>6</v>
      </c>
      <c r="B14" s="10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</row>
    <row r="15" spans="1:252" s="2" customFormat="1">
      <c r="A15" s="10" t="s">
        <v>2</v>
      </c>
      <c r="B15" s="107">
        <f>1.28*12*B3</f>
        <v>11163.647999999999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</row>
    <row r="16" spans="1:252" s="2" customFormat="1">
      <c r="A16" s="10" t="s">
        <v>37</v>
      </c>
      <c r="B16" s="107">
        <v>153990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</row>
    <row r="17" spans="1:251" s="2" customFormat="1">
      <c r="A17" s="10" t="s">
        <v>14</v>
      </c>
      <c r="B17" s="107">
        <f>0.33*12*B3*1.2</f>
        <v>3453.7535999999996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</row>
    <row r="18" spans="1:251" s="2" customFormat="1">
      <c r="A18" s="10" t="s">
        <v>1</v>
      </c>
      <c r="B18" s="107">
        <v>31415.81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4" customFormat="1">
      <c r="A19" s="10" t="s">
        <v>7</v>
      </c>
      <c r="B19" s="107">
        <v>7354.25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</row>
    <row r="20" spans="1:251" s="2" customFormat="1">
      <c r="A20" s="10" t="s">
        <v>41</v>
      </c>
      <c r="B20" s="107">
        <f>9100*0.02*1.302*12*1.13*1.5</f>
        <v>4819.8477599999997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</row>
    <row r="21" spans="1:251" s="4" customFormat="1">
      <c r="A21" s="10" t="s">
        <v>9</v>
      </c>
      <c r="B21" s="107">
        <v>251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</row>
    <row r="22" spans="1:251" s="4" customFormat="1">
      <c r="A22" s="10" t="s">
        <v>10</v>
      </c>
      <c r="B22" s="107">
        <f>B21*130*1.302*1.28</f>
        <v>54379.852800000001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</row>
    <row r="23" spans="1:251" s="4" customFormat="1">
      <c r="A23" s="10" t="s">
        <v>75</v>
      </c>
      <c r="B23" s="107">
        <v>719.19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</row>
    <row r="24" spans="1:251" s="2" customFormat="1">
      <c r="A24" s="10" t="s">
        <v>76</v>
      </c>
      <c r="B24" s="107">
        <v>3748.68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</row>
    <row r="25" spans="1:251" s="2" customFormat="1">
      <c r="A25" s="10" t="s">
        <v>115</v>
      </c>
      <c r="B25" s="107">
        <v>3605.35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</row>
    <row r="26" spans="1:251" s="2" customFormat="1">
      <c r="A26" s="10" t="s">
        <v>120</v>
      </c>
      <c r="B26" s="107">
        <f>B11-B13</f>
        <v>-2266.5121599999839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</row>
    <row r="27" spans="1:251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</row>
    <row r="28" spans="1:251" s="2" customFormat="1">
      <c r="A28" s="89" t="s">
        <v>11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</row>
    <row r="29" spans="1:251" s="4" customFormat="1"/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Кирова 19а</vt:lpstr>
      <vt:lpstr>Строительная 28а</vt:lpstr>
      <vt:lpstr>М.Горького 3б</vt:lpstr>
      <vt:lpstr>М.Горького 4а</vt:lpstr>
      <vt:lpstr>Лесная 3а</vt:lpstr>
      <vt:lpstr>Пионерская 24а</vt:lpstr>
      <vt:lpstr>Пионерская 20</vt:lpstr>
      <vt:lpstr>Пионерская 18</vt:lpstr>
      <vt:lpstr>Пионерская 16</vt:lpstr>
      <vt:lpstr>Пионерская 14</vt:lpstr>
      <vt:lpstr>Пионерская 6</vt:lpstr>
      <vt:lpstr>Пионерская 4 </vt:lpstr>
      <vt:lpstr>Пионерская 2а</vt:lpstr>
      <vt:lpstr>Гагарина 5а</vt:lpstr>
      <vt:lpstr>Гагарина 3</vt:lpstr>
      <vt:lpstr>Гагарина 2а</vt:lpstr>
      <vt:lpstr>Гагарина 1</vt:lpstr>
      <vt:lpstr>вокзальная 17а</vt:lpstr>
      <vt:lpstr>вокзальная 11</vt:lpstr>
      <vt:lpstr>вокзальная 9б</vt:lpstr>
      <vt:lpstr>вокзальная 9а</vt:lpstr>
      <vt:lpstr>Пушкина 30а</vt:lpstr>
      <vt:lpstr>Пушкина 11а</vt:lpstr>
      <vt:lpstr>Пушкина 7а</vt:lpstr>
      <vt:lpstr>Пушкина 6а</vt:lpstr>
      <vt:lpstr>Пушкина 5а</vt:lpstr>
      <vt:lpstr>Пушкина 4а</vt:lpstr>
      <vt:lpstr>Пушкина 3а</vt:lpstr>
      <vt:lpstr>Пушкина 2а</vt:lpstr>
      <vt:lpstr>сводный 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2017-03-24T06:49:01Z</dcterms:modified>
</cp:coreProperties>
</file>